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2520" yWindow="-15" windowWidth="20730" windowHeight="11700" tabRatio="843"/>
  </bookViews>
  <sheets>
    <sheet name="40 Year Horizon" sheetId="4" r:id="rId1"/>
    <sheet name="Benefits Results" sheetId="5" r:id="rId2"/>
    <sheet name="1-Nominal Adjustment" sheetId="25" r:id="rId3"/>
    <sheet name="2-Reduced Local Traffic" sheetId="20" r:id="rId4"/>
    <sheet name="3-Reduced Oil Imports" sheetId="2" r:id="rId5"/>
    <sheet name="4-Recreational Benefits" sheetId="43" r:id="rId6"/>
    <sheet name="5-Increased Exercise Benefits" sheetId="44" r:id="rId7"/>
    <sheet name="6-Stormwater Benefits" sheetId="45" r:id="rId8"/>
    <sheet name="7-Imp Exp and Existence Value" sheetId="13" r:id="rId9"/>
    <sheet name="8 -Car Air Pollution Benefit" sheetId="8" r:id="rId10"/>
    <sheet name="9 -Safety Benefits" sheetId="3" r:id="rId11"/>
    <sheet name="10-Real Estate Values" sheetId="10" r:id="rId12"/>
    <sheet name="11-Carbon Costs" sheetId="28" r:id="rId13"/>
    <sheet name="12-Project Costs" sheetId="39" r:id="rId14"/>
  </sheets>
  <definedNames>
    <definedName name="_xlnm.Print_Area" localSheetId="11">'10-Real Estate Values'!$A$1:$I$27</definedName>
    <definedName name="_xlnm.Print_Area" localSheetId="12">'11-Carbon Costs'!$A$1:$Y$27</definedName>
    <definedName name="_xlnm.Print_Area" localSheetId="2">'1-Nominal Adjustment'!$A$1:$O$7</definedName>
    <definedName name="_xlnm.Print_Area" localSheetId="3">'2-Reduced Local Traffic'!$A$1:$J$33</definedName>
    <definedName name="_xlnm.Print_Area" localSheetId="4">'3-Reduced Oil Imports'!$A$1:$J$41</definedName>
    <definedName name="_xlnm.Print_Area" localSheetId="0">'40 Year Horizon'!$A$1:$AX$44</definedName>
    <definedName name="_xlnm.Print_Area" localSheetId="5">'4-Recreational Benefits'!$A$1:$C$28</definedName>
    <definedName name="_xlnm.Print_Area" localSheetId="6">'5-Increased Exercise Benefits'!$A$1:$D$33</definedName>
    <definedName name="_xlnm.Print_Area" localSheetId="7">'6-Stormwater Benefits'!$A$1:$B$14</definedName>
    <definedName name="_xlnm.Print_Area" localSheetId="8">'7-Imp Exp and Existence Value'!$A$1:$B$32</definedName>
    <definedName name="_xlnm.Print_Area" localSheetId="9">'8 -Car Air Pollution Benefit'!$A$1:$J$42</definedName>
    <definedName name="_xlnm.Print_Area" localSheetId="10">'9 -Safety Benefits'!$A$1:$I$63</definedName>
    <definedName name="_xlnm.Print_Area" localSheetId="1">'Benefits Results'!$A$1:$D$39</definedName>
    <definedName name="_xlnm.Print_Titles" localSheetId="0">'40 Year Horizon'!$A:$A,'40 Year Horizon'!$1:$14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12" i="39" l="1"/>
  <c r="B6" i="20"/>
  <c r="E53" i="20"/>
  <c r="C40" i="44" l="1"/>
  <c r="E40" i="44" s="1"/>
  <c r="C41" i="44"/>
  <c r="E41" i="44" s="1"/>
  <c r="C51" i="43"/>
  <c r="G14" i="39" l="1"/>
  <c r="D32" i="39" l="1"/>
  <c r="K26" i="4" s="1"/>
  <c r="D31" i="39"/>
  <c r="D30" i="39"/>
  <c r="D22" i="39"/>
  <c r="D23" i="39"/>
  <c r="D24" i="39"/>
  <c r="D25" i="39"/>
  <c r="D21" i="39"/>
  <c r="E12" i="39"/>
  <c r="D12" i="39"/>
  <c r="C12" i="39"/>
  <c r="C31" i="39"/>
  <c r="B31" i="39"/>
  <c r="C30" i="39"/>
  <c r="C22" i="39"/>
  <c r="C23" i="39"/>
  <c r="C24" i="39"/>
  <c r="C25" i="39"/>
  <c r="C26" i="39"/>
  <c r="C28" i="39"/>
  <c r="C29" i="39"/>
  <c r="C21" i="39"/>
  <c r="B30" i="39"/>
  <c r="B8" i="45" l="1"/>
  <c r="B10" i="45" s="1"/>
  <c r="B14" i="45" s="1"/>
  <c r="K7" i="4" s="1"/>
  <c r="C26" i="5" s="1"/>
  <c r="D26" i="5" s="1"/>
  <c r="C52" i="43" l="1"/>
  <c r="D52" i="43" s="1"/>
  <c r="B12" i="43" s="1"/>
  <c r="C50" i="43"/>
  <c r="D50" i="43" s="1"/>
  <c r="B14" i="43" s="1"/>
  <c r="C49" i="43"/>
  <c r="D49" i="43" s="1"/>
  <c r="B13" i="43" s="1"/>
  <c r="G25" i="4"/>
  <c r="D51" i="43" l="1"/>
  <c r="B11" i="43" s="1"/>
  <c r="B14" i="39"/>
  <c r="B7" i="44"/>
  <c r="B6" i="44"/>
  <c r="C35" i="43" l="1"/>
  <c r="E35" i="43" s="1"/>
  <c r="G35" i="43" s="1"/>
  <c r="B7" i="43" s="1"/>
  <c r="B21" i="43" s="1"/>
  <c r="C36" i="43"/>
  <c r="E36" i="43" s="1"/>
  <c r="G36" i="43" s="1"/>
  <c r="B8" i="43" s="1"/>
  <c r="B22" i="43" s="1"/>
  <c r="C22" i="43" s="1"/>
  <c r="C37" i="43"/>
  <c r="E37" i="43" s="1"/>
  <c r="G37" i="43" s="1"/>
  <c r="B9" i="43" s="1"/>
  <c r="B23" i="43" s="1"/>
  <c r="C23" i="43" s="1"/>
  <c r="C34" i="43"/>
  <c r="G34" i="43" l="1"/>
  <c r="B6" i="43" s="1"/>
  <c r="E34" i="43"/>
  <c r="B20" i="43"/>
  <c r="C20" i="43" s="1"/>
  <c r="C21" i="43"/>
  <c r="H16" i="4"/>
  <c r="I16" i="4"/>
  <c r="H17" i="4"/>
  <c r="I17" i="4"/>
  <c r="H18" i="4"/>
  <c r="I18" i="4"/>
  <c r="H19" i="4"/>
  <c r="I19" i="4"/>
  <c r="H20" i="4"/>
  <c r="I20"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G18" i="4"/>
  <c r="G17" i="4"/>
  <c r="G19" i="4"/>
  <c r="G20" i="4"/>
  <c r="G21" i="4"/>
  <c r="G16" i="4"/>
  <c r="C50" i="3"/>
  <c r="C24" i="43" l="1"/>
  <c r="B26" i="44"/>
  <c r="B28" i="13"/>
  <c r="B23" i="13"/>
  <c r="B24" i="13" s="1"/>
  <c r="B18" i="10"/>
  <c r="B88" i="10"/>
  <c r="D87" i="10"/>
  <c r="C86" i="10"/>
  <c r="D86" i="10" s="1"/>
  <c r="C85" i="10"/>
  <c r="D85" i="10" s="1"/>
  <c r="C84" i="10"/>
  <c r="D84" i="10" s="1"/>
  <c r="C83" i="10"/>
  <c r="D83" i="10" s="1"/>
  <c r="C82" i="10"/>
  <c r="D82" i="10" s="1"/>
  <c r="C81" i="10"/>
  <c r="D81" i="10" s="1"/>
  <c r="C80" i="10"/>
  <c r="D80" i="10" s="1"/>
  <c r="C79" i="10"/>
  <c r="D79" i="10" s="1"/>
  <c r="C78" i="10"/>
  <c r="D78" i="10" s="1"/>
  <c r="C77" i="10"/>
  <c r="D77" i="10" s="1"/>
  <c r="C76" i="10"/>
  <c r="D76" i="10" s="1"/>
  <c r="C75" i="10"/>
  <c r="D75" i="10" s="1"/>
  <c r="C74" i="10"/>
  <c r="D74" i="10" s="1"/>
  <c r="C73" i="10"/>
  <c r="D73" i="10" s="1"/>
  <c r="C72" i="10"/>
  <c r="D72" i="10" s="1"/>
  <c r="C71" i="10"/>
  <c r="D71" i="10" s="1"/>
  <c r="C70" i="10"/>
  <c r="D70" i="10" s="1"/>
  <c r="C69" i="10"/>
  <c r="D69" i="10" s="1"/>
  <c r="C68" i="10"/>
  <c r="D68" i="10" s="1"/>
  <c r="C67" i="10"/>
  <c r="D67" i="10" s="1"/>
  <c r="C66" i="10"/>
  <c r="D66" i="10" s="1"/>
  <c r="C65" i="10"/>
  <c r="D65" i="10" s="1"/>
  <c r="C64" i="10"/>
  <c r="D64" i="10" s="1"/>
  <c r="B58" i="10"/>
  <c r="D57" i="10"/>
  <c r="C56" i="10"/>
  <c r="D56" i="10" s="1"/>
  <c r="C55" i="10"/>
  <c r="D55" i="10" s="1"/>
  <c r="C54" i="10"/>
  <c r="D54" i="10" s="1"/>
  <c r="C53" i="10"/>
  <c r="D53" i="10" s="1"/>
  <c r="C52" i="10"/>
  <c r="D52" i="10" s="1"/>
  <c r="C51" i="10"/>
  <c r="D51" i="10" s="1"/>
  <c r="C50" i="10"/>
  <c r="D50" i="10" s="1"/>
  <c r="C49" i="10"/>
  <c r="D49" i="10" s="1"/>
  <c r="C48" i="10"/>
  <c r="D48" i="10" s="1"/>
  <c r="C47" i="10"/>
  <c r="D47" i="10" s="1"/>
  <c r="C46" i="10"/>
  <c r="D46" i="10" s="1"/>
  <c r="C45" i="10"/>
  <c r="D45" i="10" s="1"/>
  <c r="C44" i="10"/>
  <c r="D44" i="10" s="1"/>
  <c r="C43" i="10"/>
  <c r="D43" i="10" s="1"/>
  <c r="C42" i="10"/>
  <c r="D42" i="10" s="1"/>
  <c r="C41" i="10"/>
  <c r="D41" i="10" s="1"/>
  <c r="C40" i="10"/>
  <c r="D40" i="10" s="1"/>
  <c r="C39" i="10"/>
  <c r="D39" i="10" s="1"/>
  <c r="C38" i="10"/>
  <c r="D38" i="10" s="1"/>
  <c r="C37" i="10"/>
  <c r="D37" i="10" s="1"/>
  <c r="C36" i="10"/>
  <c r="D36" i="10" s="1"/>
  <c r="C35" i="10"/>
  <c r="D35" i="10" s="1"/>
  <c r="C34" i="10"/>
  <c r="D34" i="10" s="1"/>
  <c r="B30" i="13" l="1"/>
  <c r="K5" i="4"/>
  <c r="C18" i="5" s="1"/>
  <c r="D18" i="5" s="1"/>
  <c r="J7" i="4"/>
  <c r="L7" i="4"/>
  <c r="B24" i="43"/>
  <c r="D58" i="10"/>
  <c r="B12" i="10" s="1"/>
  <c r="D88" i="10"/>
  <c r="B15" i="10" s="1"/>
  <c r="F26" i="10" s="1"/>
  <c r="G24" i="20"/>
  <c r="B22" i="20" s="1"/>
  <c r="D49" i="20"/>
  <c r="E49" i="20" s="1"/>
  <c r="D48" i="20"/>
  <c r="D40" i="20"/>
  <c r="E40" i="20" s="1"/>
  <c r="D39" i="20"/>
  <c r="E39" i="20" s="1"/>
  <c r="D29" i="2"/>
  <c r="C27" i="2"/>
  <c r="B41" i="2"/>
  <c r="B28" i="2" s="1"/>
  <c r="B19" i="2" s="1"/>
  <c r="C4" i="25"/>
  <c r="B4" i="25"/>
  <c r="B18" i="2" l="1"/>
  <c r="D27" i="2"/>
  <c r="B8" i="44"/>
  <c r="B12" i="44" s="1"/>
  <c r="J5" i="4"/>
  <c r="L5" i="4"/>
  <c r="M5" i="4" s="1"/>
  <c r="N5" i="4" s="1"/>
  <c r="O5" i="4" s="1"/>
  <c r="P5" i="4" s="1"/>
  <c r="Q5" i="4" s="1"/>
  <c r="R5" i="4" s="1"/>
  <c r="S5" i="4" s="1"/>
  <c r="T5" i="4" s="1"/>
  <c r="U5" i="4" s="1"/>
  <c r="V5" i="4" s="1"/>
  <c r="W5" i="4" s="1"/>
  <c r="X5" i="4" s="1"/>
  <c r="Y5" i="4" s="1"/>
  <c r="Z5" i="4" s="1"/>
  <c r="AA5" i="4" s="1"/>
  <c r="AB5" i="4" s="1"/>
  <c r="AC5" i="4" s="1"/>
  <c r="AD5" i="4" s="1"/>
  <c r="AE5" i="4" s="1"/>
  <c r="AF5" i="4" s="1"/>
  <c r="AG5" i="4" s="1"/>
  <c r="AH5" i="4" s="1"/>
  <c r="AI5" i="4" s="1"/>
  <c r="AJ5" i="4" s="1"/>
  <c r="AK5" i="4" s="1"/>
  <c r="AL5" i="4" s="1"/>
  <c r="AM5" i="4" s="1"/>
  <c r="AN5" i="4" s="1"/>
  <c r="AO5" i="4" s="1"/>
  <c r="AP5" i="4" s="1"/>
  <c r="AQ5" i="4" s="1"/>
  <c r="AR5" i="4" s="1"/>
  <c r="AS5" i="4" s="1"/>
  <c r="AT5" i="4" s="1"/>
  <c r="AU5" i="4" s="1"/>
  <c r="AV5" i="4" s="1"/>
  <c r="AW5" i="4" s="1"/>
  <c r="AX5" i="4" s="1"/>
  <c r="M7" i="4"/>
  <c r="F25" i="10"/>
  <c r="F27" i="10" s="1"/>
  <c r="B16" i="10"/>
  <c r="B17" i="10"/>
  <c r="B19" i="10" s="1"/>
  <c r="D50" i="20"/>
  <c r="E41" i="20"/>
  <c r="D41" i="20"/>
  <c r="E48" i="20"/>
  <c r="E50" i="20" s="1"/>
  <c r="C22" i="44" l="1"/>
  <c r="D22" i="44" s="1"/>
  <c r="C19" i="44"/>
  <c r="D19" i="44" s="1"/>
  <c r="C24" i="44"/>
  <c r="D24" i="44" s="1"/>
  <c r="C21" i="44"/>
  <c r="D21" i="44" s="1"/>
  <c r="C18" i="44"/>
  <c r="B8" i="20"/>
  <c r="N7" i="4"/>
  <c r="C6" i="8" l="1"/>
  <c r="E6" i="8" s="1"/>
  <c r="C14" i="20"/>
  <c r="C26" i="44"/>
  <c r="D26" i="44" s="1"/>
  <c r="K6" i="4" s="1"/>
  <c r="C19" i="5" s="1"/>
  <c r="D19" i="5" s="1"/>
  <c r="D18" i="44"/>
  <c r="O7" i="4"/>
  <c r="D21" i="4"/>
  <c r="E21" i="4"/>
  <c r="C21" i="4"/>
  <c r="B5" i="25"/>
  <c r="J6" i="4" l="1"/>
  <c r="L6" i="4"/>
  <c r="P7" i="4"/>
  <c r="V6" i="28"/>
  <c r="W6" i="28" s="1"/>
  <c r="X6" i="28" s="1"/>
  <c r="Y6" i="28" s="1"/>
  <c r="Z6" i="28" s="1"/>
  <c r="J30" i="8"/>
  <c r="B30" i="8" s="1"/>
  <c r="J29" i="8"/>
  <c r="C5" i="25"/>
  <c r="D5" i="25"/>
  <c r="E5" i="25"/>
  <c r="F5" i="25"/>
  <c r="G5" i="25"/>
  <c r="H5" i="25"/>
  <c r="I5" i="25"/>
  <c r="J5" i="25"/>
  <c r="K5" i="25"/>
  <c r="M5" i="25"/>
  <c r="N5" i="25"/>
  <c r="O5" i="25"/>
  <c r="P5" i="25"/>
  <c r="L5" i="25"/>
  <c r="D4" i="25"/>
  <c r="E4" i="25"/>
  <c r="F4" i="25"/>
  <c r="G4" i="25"/>
  <c r="H4" i="25"/>
  <c r="I4" i="25"/>
  <c r="J4" i="25"/>
  <c r="K4" i="25"/>
  <c r="L4" i="25"/>
  <c r="M4" i="25"/>
  <c r="N4" i="25"/>
  <c r="O4" i="25"/>
  <c r="A65" i="25"/>
  <c r="A61" i="25"/>
  <c r="A57" i="25"/>
  <c r="A53" i="25"/>
  <c r="A49" i="25"/>
  <c r="A45" i="25"/>
  <c r="A41" i="25"/>
  <c r="A37" i="25"/>
  <c r="A33" i="25"/>
  <c r="A29" i="25"/>
  <c r="A25" i="25"/>
  <c r="A21" i="25"/>
  <c r="A17" i="25"/>
  <c r="C62" i="3"/>
  <c r="C63" i="3" s="1"/>
  <c r="B29" i="8"/>
  <c r="D14" i="20"/>
  <c r="F14" i="20" s="1"/>
  <c r="C29" i="2"/>
  <c r="B20" i="2" s="1"/>
  <c r="C53" i="3"/>
  <c r="C54" i="3" s="1"/>
  <c r="C22" i="3" s="1"/>
  <c r="D22" i="3" s="1"/>
  <c r="B13" i="10"/>
  <c r="B14" i="10" s="1"/>
  <c r="B21" i="10" s="1"/>
  <c r="C14" i="39"/>
  <c r="H25" i="4" s="1"/>
  <c r="D14" i="39"/>
  <c r="I25" i="4" s="1"/>
  <c r="E14" i="39"/>
  <c r="J25" i="4" s="1"/>
  <c r="B60" i="39"/>
  <c r="F6" i="39"/>
  <c r="AC6" i="39"/>
  <c r="AD6" i="39"/>
  <c r="AD8" i="39" s="1"/>
  <c r="AE6" i="39"/>
  <c r="AF6" i="39"/>
  <c r="AF8" i="39" s="1"/>
  <c r="AG6" i="39"/>
  <c r="AH6" i="39"/>
  <c r="AH8" i="39" s="1"/>
  <c r="AI6" i="39"/>
  <c r="AJ6" i="39"/>
  <c r="AJ8" i="39" s="1"/>
  <c r="AK6" i="39"/>
  <c r="AL6" i="39"/>
  <c r="AL8" i="39" s="1"/>
  <c r="AM6" i="39"/>
  <c r="AN6" i="39"/>
  <c r="AN8" i="39" s="1"/>
  <c r="AO6" i="39"/>
  <c r="AP6" i="39"/>
  <c r="AP8" i="39" s="1"/>
  <c r="AQ6" i="39"/>
  <c r="AR6" i="39"/>
  <c r="AR8" i="39" s="1"/>
  <c r="AS6" i="39"/>
  <c r="AT6" i="39"/>
  <c r="AT8" i="39" s="1"/>
  <c r="AU6" i="39"/>
  <c r="AV6" i="39"/>
  <c r="AV8" i="39" s="1"/>
  <c r="AW6" i="39"/>
  <c r="AX6" i="39"/>
  <c r="AX8" i="39" s="1"/>
  <c r="AY6" i="39"/>
  <c r="AZ6" i="39"/>
  <c r="AZ8" i="39" s="1"/>
  <c r="B61" i="39"/>
  <c r="F7" i="39"/>
  <c r="AC7" i="39"/>
  <c r="AD7" i="39"/>
  <c r="G7" i="39" s="1"/>
  <c r="AE7" i="39"/>
  <c r="AF7" i="39"/>
  <c r="AG7" i="39"/>
  <c r="AH7" i="39"/>
  <c r="AI7" i="39"/>
  <c r="AJ7" i="39"/>
  <c r="AK7" i="39"/>
  <c r="AL7" i="39"/>
  <c r="AM7" i="39"/>
  <c r="AN7" i="39"/>
  <c r="AO7" i="39"/>
  <c r="AP7" i="39"/>
  <c r="AQ7" i="39"/>
  <c r="AR7" i="39"/>
  <c r="AS7" i="39"/>
  <c r="AT7" i="39"/>
  <c r="AU7" i="39"/>
  <c r="AV7" i="39"/>
  <c r="AW7" i="39"/>
  <c r="AX7" i="39"/>
  <c r="AY7" i="39"/>
  <c r="AZ7" i="39"/>
  <c r="AB7" i="39"/>
  <c r="AB6" i="39"/>
  <c r="AB8" i="39" s="1"/>
  <c r="B58" i="39"/>
  <c r="B59" i="39"/>
  <c r="O5" i="39" s="1"/>
  <c r="O8" i="39" s="1"/>
  <c r="F5" i="39"/>
  <c r="T5" i="39"/>
  <c r="T8" i="39" s="1"/>
  <c r="F4" i="39"/>
  <c r="M4" i="39"/>
  <c r="C11" i="39"/>
  <c r="D11" i="39"/>
  <c r="E11" i="39"/>
  <c r="F11" i="39"/>
  <c r="I2" i="39"/>
  <c r="J2" i="39"/>
  <c r="K2" i="39"/>
  <c r="L2" i="39"/>
  <c r="M2" i="39"/>
  <c r="N2" i="39"/>
  <c r="O2" i="39"/>
  <c r="P2" i="39"/>
  <c r="Q2" i="39"/>
  <c r="R2" i="39"/>
  <c r="S2" i="39"/>
  <c r="T2" i="39"/>
  <c r="U2" i="39"/>
  <c r="V2" i="39"/>
  <c r="W2" i="39"/>
  <c r="X2" i="39"/>
  <c r="Y2" i="39"/>
  <c r="Z2" i="39"/>
  <c r="AA2" i="39"/>
  <c r="AB2" i="39"/>
  <c r="AC2" i="39"/>
  <c r="AD2" i="39"/>
  <c r="AE2" i="39"/>
  <c r="AF2" i="39"/>
  <c r="AG2" i="39"/>
  <c r="AH2" i="39"/>
  <c r="AI2" i="39"/>
  <c r="AJ2" i="39"/>
  <c r="AK2" i="39"/>
  <c r="AL2" i="39"/>
  <c r="AM2" i="39"/>
  <c r="AN2" i="39"/>
  <c r="AO2" i="39"/>
  <c r="AP2" i="39"/>
  <c r="AQ2" i="39"/>
  <c r="AR2" i="39"/>
  <c r="AS2" i="39"/>
  <c r="AT2" i="39"/>
  <c r="AU2" i="39"/>
  <c r="AV2" i="39"/>
  <c r="AW2" i="39"/>
  <c r="AX2" i="39"/>
  <c r="AY2" i="39"/>
  <c r="AZ2" i="39"/>
  <c r="BA2" i="39"/>
  <c r="BB2" i="39"/>
  <c r="BC2" i="39"/>
  <c r="BD2" i="39"/>
  <c r="I8" i="39"/>
  <c r="J8" i="39"/>
  <c r="K8" i="39"/>
  <c r="L8" i="39"/>
  <c r="U8" i="39"/>
  <c r="V8" i="39"/>
  <c r="W8" i="39"/>
  <c r="X8" i="39"/>
  <c r="Y8" i="39"/>
  <c r="Z8" i="39"/>
  <c r="AA8" i="39"/>
  <c r="AC8" i="39"/>
  <c r="AE8" i="39"/>
  <c r="AG8" i="39"/>
  <c r="AI8" i="39"/>
  <c r="AK8" i="39"/>
  <c r="AM8" i="39"/>
  <c r="AO8" i="39"/>
  <c r="AQ8" i="39"/>
  <c r="AS8" i="39"/>
  <c r="AU8" i="39"/>
  <c r="AW8" i="39"/>
  <c r="AY8" i="39"/>
  <c r="BA8" i="39"/>
  <c r="BB8" i="39"/>
  <c r="BC8" i="39"/>
  <c r="BD8" i="39"/>
  <c r="F12" i="39"/>
  <c r="G27" i="4"/>
  <c r="G4" i="39"/>
  <c r="G6" i="39"/>
  <c r="J3" i="39"/>
  <c r="K3" i="39"/>
  <c r="L3" i="39"/>
  <c r="M3" i="39"/>
  <c r="N3" i="39"/>
  <c r="O3" i="39"/>
  <c r="P3" i="39"/>
  <c r="Q3" i="39"/>
  <c r="R3" i="39"/>
  <c r="S3" i="39"/>
  <c r="T3" i="39"/>
  <c r="U3" i="39"/>
  <c r="V3" i="39"/>
  <c r="W3" i="39"/>
  <c r="X3" i="39"/>
  <c r="Y3" i="39"/>
  <c r="Z3" i="39"/>
  <c r="AA3" i="39"/>
  <c r="AB3" i="39"/>
  <c r="AC3" i="39"/>
  <c r="AD3" i="39"/>
  <c r="AE3" i="39"/>
  <c r="AF3" i="39"/>
  <c r="AG3" i="39"/>
  <c r="AH3" i="39"/>
  <c r="AI3" i="39"/>
  <c r="AJ3" i="39"/>
  <c r="AK3" i="39"/>
  <c r="AL3" i="39"/>
  <c r="AM3" i="39"/>
  <c r="AN3" i="39"/>
  <c r="AO3" i="39"/>
  <c r="AP3" i="39"/>
  <c r="AQ3" i="39"/>
  <c r="AR3" i="39"/>
  <c r="AS3" i="39"/>
  <c r="AT3" i="39"/>
  <c r="AU3" i="39"/>
  <c r="AV3" i="39"/>
  <c r="AW3" i="39"/>
  <c r="AX3" i="39"/>
  <c r="AY3" i="39"/>
  <c r="AZ3" i="39"/>
  <c r="BA3" i="39"/>
  <c r="BB3" i="39"/>
  <c r="BC3" i="39"/>
  <c r="BD3" i="39"/>
  <c r="D4" i="28"/>
  <c r="E4" i="28"/>
  <c r="F4" i="28"/>
  <c r="G4" i="28"/>
  <c r="H4" i="28"/>
  <c r="I4" i="28"/>
  <c r="J4" i="28"/>
  <c r="K4" i="28"/>
  <c r="L4" i="28"/>
  <c r="M4" i="28"/>
  <c r="N4" i="28"/>
  <c r="O4" i="28"/>
  <c r="P4" i="28"/>
  <c r="Q4" i="28"/>
  <c r="R4" i="28"/>
  <c r="S4" i="28"/>
  <c r="T4" i="28"/>
  <c r="U4" i="28"/>
  <c r="V4" i="28"/>
  <c r="W4" i="28"/>
  <c r="X4" i="28"/>
  <c r="Y4" i="28"/>
  <c r="Z4" i="28"/>
  <c r="AA4" i="28"/>
  <c r="AB4" i="28"/>
  <c r="AC4" i="28"/>
  <c r="AD4" i="28"/>
  <c r="AE4" i="28"/>
  <c r="AF4" i="28"/>
  <c r="AG4" i="28"/>
  <c r="AH4" i="28"/>
  <c r="AI4" i="28"/>
  <c r="AJ4" i="28"/>
  <c r="AK4" i="28"/>
  <c r="AL4" i="28"/>
  <c r="AM4" i="28"/>
  <c r="AN4" i="28"/>
  <c r="AO4" i="28"/>
  <c r="AP4" i="28"/>
  <c r="AQ4" i="28"/>
  <c r="AR4" i="28"/>
  <c r="AS4" i="28"/>
  <c r="AT4" i="28"/>
  <c r="C4" i="28"/>
  <c r="P4" i="25"/>
  <c r="C3" i="28"/>
  <c r="D3" i="28"/>
  <c r="E3" i="28"/>
  <c r="F3" i="28"/>
  <c r="G3" i="28"/>
  <c r="H3" i="28"/>
  <c r="I3" i="28"/>
  <c r="J3" i="28"/>
  <c r="K3" i="28"/>
  <c r="L3" i="28"/>
  <c r="M3" i="28"/>
  <c r="N3" i="28"/>
  <c r="O3" i="28"/>
  <c r="P3" i="28"/>
  <c r="Q3" i="28"/>
  <c r="R3" i="28"/>
  <c r="S3" i="28"/>
  <c r="T3" i="28"/>
  <c r="U3" i="28"/>
  <c r="V3" i="28"/>
  <c r="W3" i="28"/>
  <c r="X3" i="28"/>
  <c r="Y3" i="28"/>
  <c r="Z3" i="28"/>
  <c r="B15" i="28"/>
  <c r="AA3" i="28"/>
  <c r="C15" i="28"/>
  <c r="AB3" i="28"/>
  <c r="D15" i="28"/>
  <c r="AC3" i="28"/>
  <c r="E15" i="28"/>
  <c r="AD3" i="28"/>
  <c r="F15" i="28"/>
  <c r="AE3" i="28"/>
  <c r="G15" i="28"/>
  <c r="B16" i="28"/>
  <c r="C16" i="28"/>
  <c r="D16" i="28"/>
  <c r="E16" i="28"/>
  <c r="F16" i="28"/>
  <c r="G16" i="28"/>
  <c r="B25" i="28"/>
  <c r="B7" i="28"/>
  <c r="B8" i="28"/>
  <c r="B9" i="28"/>
  <c r="C7" i="28"/>
  <c r="C8" i="28"/>
  <c r="C9" i="28"/>
  <c r="D7" i="28"/>
  <c r="D8" i="28"/>
  <c r="D9" i="28"/>
  <c r="E7" i="28"/>
  <c r="F7" i="28"/>
  <c r="G7" i="28"/>
  <c r="H7" i="28"/>
  <c r="I7" i="28"/>
  <c r="J7" i="28"/>
  <c r="K7" i="28"/>
  <c r="L7" i="28"/>
  <c r="M7" i="28"/>
  <c r="N7" i="28"/>
  <c r="O7" i="28"/>
  <c r="P7" i="28"/>
  <c r="Q7" i="28"/>
  <c r="R7" i="28"/>
  <c r="S7" i="28"/>
  <c r="T7" i="28"/>
  <c r="U7" i="28"/>
  <c r="AF3" i="28"/>
  <c r="AG3" i="28"/>
  <c r="AH3" i="28"/>
  <c r="AI3" i="28"/>
  <c r="AJ3" i="28"/>
  <c r="AK3" i="28"/>
  <c r="AL3" i="28"/>
  <c r="AM3" i="28"/>
  <c r="AN3" i="28"/>
  <c r="AO3" i="28"/>
  <c r="AP3" i="28"/>
  <c r="AQ3" i="28"/>
  <c r="AR3" i="28"/>
  <c r="AS3" i="28"/>
  <c r="AT3" i="28"/>
  <c r="V16" i="28"/>
  <c r="U16" i="28"/>
  <c r="T16" i="28"/>
  <c r="S16" i="28"/>
  <c r="R16" i="28"/>
  <c r="Q16" i="28"/>
  <c r="P16" i="28"/>
  <c r="O16" i="28"/>
  <c r="N16" i="28"/>
  <c r="M16" i="28"/>
  <c r="L16" i="28"/>
  <c r="K16" i="28"/>
  <c r="J16" i="28"/>
  <c r="I16" i="28"/>
  <c r="H16" i="28"/>
  <c r="W15" i="28"/>
  <c r="V15" i="28"/>
  <c r="U15" i="28"/>
  <c r="T15" i="28"/>
  <c r="S15" i="28"/>
  <c r="R15" i="28"/>
  <c r="Q15" i="28"/>
  <c r="P15" i="28"/>
  <c r="O15" i="28"/>
  <c r="N15" i="28"/>
  <c r="M15" i="28"/>
  <c r="L15" i="28"/>
  <c r="K15" i="28"/>
  <c r="J15" i="28"/>
  <c r="I15" i="28"/>
  <c r="H15" i="28"/>
  <c r="E36" i="3"/>
  <c r="E41" i="3" s="1"/>
  <c r="E37" i="3"/>
  <c r="E38" i="3"/>
  <c r="E39" i="3"/>
  <c r="E40" i="3"/>
  <c r="B13" i="13"/>
  <c r="B8" i="13"/>
  <c r="B14" i="13" s="1"/>
  <c r="H1" i="4"/>
  <c r="I1" i="4" s="1"/>
  <c r="B7" i="2"/>
  <c r="B11" i="2"/>
  <c r="G14" i="4"/>
  <c r="H14" i="4" s="1"/>
  <c r="I14" i="4" s="1"/>
  <c r="J14" i="4" s="1"/>
  <c r="K14" i="4" s="1"/>
  <c r="L14" i="4" s="1"/>
  <c r="M14" i="4" s="1"/>
  <c r="N14" i="4" s="1"/>
  <c r="O14" i="4" s="1"/>
  <c r="P14" i="4" s="1"/>
  <c r="Q14" i="4" s="1"/>
  <c r="R14" i="4" s="1"/>
  <c r="S14" i="4" s="1"/>
  <c r="T14" i="4" s="1"/>
  <c r="U14" i="4" s="1"/>
  <c r="V14" i="4" s="1"/>
  <c r="W14" i="4" s="1"/>
  <c r="X14" i="4" s="1"/>
  <c r="Y14" i="4" s="1"/>
  <c r="Z14" i="4" s="1"/>
  <c r="AA14" i="4" s="1"/>
  <c r="AB14" i="4" s="1"/>
  <c r="AC14" i="4" s="1"/>
  <c r="AD14" i="4" s="1"/>
  <c r="AE14" i="4" s="1"/>
  <c r="AF14" i="4" s="1"/>
  <c r="AG14" i="4" s="1"/>
  <c r="AH14" i="4" s="1"/>
  <c r="AI14" i="4" s="1"/>
  <c r="AJ14" i="4" s="1"/>
  <c r="AK14" i="4" s="1"/>
  <c r="AL14" i="4" s="1"/>
  <c r="AM14" i="4" s="1"/>
  <c r="AN14" i="4" s="1"/>
  <c r="AO14" i="4" s="1"/>
  <c r="AP14" i="4" s="1"/>
  <c r="AQ14" i="4" s="1"/>
  <c r="AR14" i="4" s="1"/>
  <c r="AS14" i="4" s="1"/>
  <c r="AT14" i="4" s="1"/>
  <c r="AU14" i="4" s="1"/>
  <c r="AV14" i="4" s="1"/>
  <c r="AW14" i="4" s="1"/>
  <c r="AX14" i="4" s="1"/>
  <c r="C3" i="25"/>
  <c r="D3" i="25"/>
  <c r="E3" i="25"/>
  <c r="F3" i="25"/>
  <c r="G3" i="25"/>
  <c r="H3" i="25"/>
  <c r="I3" i="25"/>
  <c r="J3" i="25"/>
  <c r="K3" i="25"/>
  <c r="L3" i="25"/>
  <c r="M3" i="25"/>
  <c r="L26" i="4"/>
  <c r="M26" i="4" s="1"/>
  <c r="D41" i="3"/>
  <c r="G34" i="4"/>
  <c r="J31" i="8" l="1"/>
  <c r="R5" i="39"/>
  <c r="R8" i="39" s="1"/>
  <c r="P5" i="39"/>
  <c r="P8" i="39" s="1"/>
  <c r="N5" i="39"/>
  <c r="N8" i="39" s="1"/>
  <c r="F14" i="39"/>
  <c r="M5" i="39"/>
  <c r="S5" i="39"/>
  <c r="S8" i="39" s="1"/>
  <c r="Q5" i="39"/>
  <c r="Q8" i="39" s="1"/>
  <c r="C22" i="20"/>
  <c r="M6" i="4"/>
  <c r="W7" i="28"/>
  <c r="Q7" i="4"/>
  <c r="L27" i="4"/>
  <c r="B33" i="3"/>
  <c r="C24" i="3" s="1"/>
  <c r="D24" i="3" s="1"/>
  <c r="C9" i="3"/>
  <c r="I27" i="4"/>
  <c r="J1" i="4"/>
  <c r="M27" i="4"/>
  <c r="N26" i="4"/>
  <c r="N27" i="4" s="1"/>
  <c r="B16" i="13"/>
  <c r="B32" i="13" s="1"/>
  <c r="K8" i="4" s="1"/>
  <c r="J8" i="4" s="1"/>
  <c r="J18" i="4" s="1"/>
  <c r="Y7" i="28"/>
  <c r="X7" i="28"/>
  <c r="V7" i="28"/>
  <c r="D22" i="20"/>
  <c r="AA6" i="28"/>
  <c r="B18" i="28"/>
  <c r="Z7" i="28"/>
  <c r="B19" i="28" s="1"/>
  <c r="B21" i="2"/>
  <c r="G22" i="4"/>
  <c r="G29" i="4" s="1"/>
  <c r="G32" i="4" s="1"/>
  <c r="G37" i="4" s="1"/>
  <c r="I22" i="4"/>
  <c r="H22" i="4"/>
  <c r="J32" i="8" l="1"/>
  <c r="B31" i="8"/>
  <c r="I29" i="4"/>
  <c r="I31" i="4" s="1"/>
  <c r="G5" i="39"/>
  <c r="G8" i="39" s="1"/>
  <c r="M8" i="39"/>
  <c r="L8" i="4"/>
  <c r="M8" i="4" s="1"/>
  <c r="N8" i="4" s="1"/>
  <c r="O8" i="4" s="1"/>
  <c r="P8" i="4" s="1"/>
  <c r="Q8" i="4" s="1"/>
  <c r="R8" i="4" s="1"/>
  <c r="S8" i="4" s="1"/>
  <c r="T8" i="4" s="1"/>
  <c r="U8" i="4" s="1"/>
  <c r="V8" i="4" s="1"/>
  <c r="W8" i="4" s="1"/>
  <c r="X8" i="4" s="1"/>
  <c r="Y8" i="4" s="1"/>
  <c r="Z8" i="4" s="1"/>
  <c r="AA8" i="4" s="1"/>
  <c r="AB8" i="4" s="1"/>
  <c r="AC8" i="4" s="1"/>
  <c r="AD8" i="4" s="1"/>
  <c r="AE8" i="4" s="1"/>
  <c r="AF8" i="4" s="1"/>
  <c r="AG8" i="4" s="1"/>
  <c r="AH8" i="4" s="1"/>
  <c r="AI8" i="4" s="1"/>
  <c r="AJ8" i="4" s="1"/>
  <c r="AK8" i="4" s="1"/>
  <c r="AL8" i="4" s="1"/>
  <c r="AM8" i="4" s="1"/>
  <c r="AN8" i="4" s="1"/>
  <c r="AO8" i="4" s="1"/>
  <c r="AP8" i="4" s="1"/>
  <c r="AQ8" i="4" s="1"/>
  <c r="AR8" i="4" s="1"/>
  <c r="AS8" i="4" s="1"/>
  <c r="AT8" i="4" s="1"/>
  <c r="AU8" i="4" s="1"/>
  <c r="AV8" i="4" s="1"/>
  <c r="AW8" i="4" s="1"/>
  <c r="AX8" i="4" s="1"/>
  <c r="C17" i="5"/>
  <c r="D17" i="5" s="1"/>
  <c r="D21" i="5" s="1"/>
  <c r="L18" i="4"/>
  <c r="N6" i="4"/>
  <c r="M18" i="4"/>
  <c r="C11" i="8"/>
  <c r="C30" i="8" s="1"/>
  <c r="C10" i="8"/>
  <c r="R7" i="4"/>
  <c r="C35" i="3"/>
  <c r="F35" i="3" s="1"/>
  <c r="C36" i="3"/>
  <c r="C37" i="3"/>
  <c r="C38" i="3"/>
  <c r="C39" i="3"/>
  <c r="C40" i="3"/>
  <c r="O26" i="4"/>
  <c r="P26" i="4" s="1"/>
  <c r="J27" i="4"/>
  <c r="K1" i="4"/>
  <c r="H27" i="4"/>
  <c r="H29" i="4" s="1"/>
  <c r="K13" i="4"/>
  <c r="K18" i="4" s="1"/>
  <c r="D17" i="8"/>
  <c r="C15" i="8"/>
  <c r="C13" i="8"/>
  <c r="D12" i="8"/>
  <c r="D19" i="8"/>
  <c r="C17" i="8"/>
  <c r="C19" i="8"/>
  <c r="E19" i="8" s="1"/>
  <c r="C21" i="8"/>
  <c r="C12" i="8"/>
  <c r="C18" i="8"/>
  <c r="C14" i="8"/>
  <c r="C22" i="8"/>
  <c r="C20" i="8"/>
  <c r="C16" i="20"/>
  <c r="AB6" i="28"/>
  <c r="C18" i="28"/>
  <c r="AA7" i="28"/>
  <c r="C19" i="28" s="1"/>
  <c r="D24" i="20"/>
  <c r="K3" i="4" s="1"/>
  <c r="C24" i="20"/>
  <c r="G31" i="4"/>
  <c r="G36" i="4" s="1"/>
  <c r="B32" i="8" l="1"/>
  <c r="J33" i="8"/>
  <c r="I32" i="4"/>
  <c r="O27" i="4"/>
  <c r="O6" i="4"/>
  <c r="N18" i="4"/>
  <c r="S7" i="4"/>
  <c r="K40" i="3"/>
  <c r="F40" i="3"/>
  <c r="K38" i="3"/>
  <c r="F38" i="3"/>
  <c r="F36" i="3"/>
  <c r="K36" i="3"/>
  <c r="F39" i="3"/>
  <c r="K39" i="3"/>
  <c r="F37" i="3"/>
  <c r="K37" i="3"/>
  <c r="L1" i="4"/>
  <c r="M1" i="4" s="1"/>
  <c r="N1" i="4" s="1"/>
  <c r="O1" i="4" s="1"/>
  <c r="P1" i="4" s="1"/>
  <c r="Q1" i="4" s="1"/>
  <c r="R1" i="4" s="1"/>
  <c r="S1" i="4" s="1"/>
  <c r="T1" i="4" s="1"/>
  <c r="U1" i="4" s="1"/>
  <c r="V1" i="4" s="1"/>
  <c r="W1" i="4" s="1"/>
  <c r="X1" i="4" s="1"/>
  <c r="Y1" i="4" s="1"/>
  <c r="Z1" i="4" s="1"/>
  <c r="AA1" i="4" s="1"/>
  <c r="AB1" i="4" s="1"/>
  <c r="AC1" i="4" s="1"/>
  <c r="AD1" i="4" s="1"/>
  <c r="AE1" i="4" s="1"/>
  <c r="AF1" i="4" s="1"/>
  <c r="AG1" i="4" s="1"/>
  <c r="AH1" i="4" s="1"/>
  <c r="AI1" i="4" s="1"/>
  <c r="AJ1" i="4" s="1"/>
  <c r="AK1" i="4" s="1"/>
  <c r="AL1" i="4" s="1"/>
  <c r="AM1" i="4" s="1"/>
  <c r="AN1" i="4" s="1"/>
  <c r="AO1" i="4" s="1"/>
  <c r="AP1" i="4" s="1"/>
  <c r="AQ1" i="4" s="1"/>
  <c r="AR1" i="4" s="1"/>
  <c r="AS1" i="4" s="1"/>
  <c r="AT1" i="4" s="1"/>
  <c r="AU1" i="4" s="1"/>
  <c r="AV1" i="4" s="1"/>
  <c r="AW1" i="4" s="1"/>
  <c r="AX1" i="4" s="1"/>
  <c r="K25" i="4"/>
  <c r="C25" i="4" s="1"/>
  <c r="H32" i="4"/>
  <c r="H31" i="4"/>
  <c r="C20" i="5"/>
  <c r="D14" i="8"/>
  <c r="E14" i="8" s="1"/>
  <c r="D15" i="8"/>
  <c r="E15" i="8" s="1"/>
  <c r="D20" i="8"/>
  <c r="E20" i="8" s="1"/>
  <c r="D18" i="8"/>
  <c r="E18" i="8" s="1"/>
  <c r="D10" i="8"/>
  <c r="D13" i="8"/>
  <c r="E13" i="8" s="1"/>
  <c r="E17" i="8"/>
  <c r="D11" i="8"/>
  <c r="D30" i="8" s="1"/>
  <c r="E30" i="8" s="1"/>
  <c r="D21" i="8"/>
  <c r="E21" i="8" s="1"/>
  <c r="D22" i="8"/>
  <c r="E22" i="8" s="1"/>
  <c r="C6" i="3"/>
  <c r="C51" i="3" s="1"/>
  <c r="C55" i="3" s="1"/>
  <c r="K12" i="4" s="1"/>
  <c r="K16" i="4" s="1"/>
  <c r="E12" i="8"/>
  <c r="E11" i="8"/>
  <c r="C32" i="8"/>
  <c r="D31" i="8"/>
  <c r="D29" i="8"/>
  <c r="D32" i="8"/>
  <c r="C23" i="8"/>
  <c r="C31" i="8"/>
  <c r="E10" i="8"/>
  <c r="E5" i="28" s="1"/>
  <c r="C29" i="8"/>
  <c r="C5" i="5"/>
  <c r="J3" i="4"/>
  <c r="L3" i="4"/>
  <c r="AC6" i="28"/>
  <c r="D18" i="28"/>
  <c r="AB7" i="28"/>
  <c r="D19" i="28" s="1"/>
  <c r="F16" i="20"/>
  <c r="K2" i="4" s="1"/>
  <c r="D16" i="20"/>
  <c r="B6" i="2" s="1"/>
  <c r="B8" i="2" s="1"/>
  <c r="Q26" i="4"/>
  <c r="P27" i="4"/>
  <c r="J34" i="8" l="1"/>
  <c r="B34" i="8" s="1"/>
  <c r="C34" i="8" s="1"/>
  <c r="C35" i="8" s="1"/>
  <c r="B33" i="8"/>
  <c r="C33" i="8" s="1"/>
  <c r="O18" i="4"/>
  <c r="P6" i="4"/>
  <c r="T7" i="4"/>
  <c r="F41" i="3"/>
  <c r="C14" i="3" s="1"/>
  <c r="D25" i="4"/>
  <c r="K27" i="4"/>
  <c r="E25" i="4"/>
  <c r="C21" i="5"/>
  <c r="D33" i="8"/>
  <c r="E29" i="8"/>
  <c r="D34" i="8"/>
  <c r="E34" i="8" s="1"/>
  <c r="C13" i="3"/>
  <c r="C15" i="3" s="1"/>
  <c r="C8" i="3"/>
  <c r="C10" i="3" s="1"/>
  <c r="K10" i="4" s="1"/>
  <c r="D23" i="8"/>
  <c r="E23" i="8" s="1"/>
  <c r="E31" i="8"/>
  <c r="E32" i="8"/>
  <c r="D35" i="8"/>
  <c r="E8" i="28"/>
  <c r="E9" i="28" s="1"/>
  <c r="H34" i="4" s="1"/>
  <c r="F5" i="28"/>
  <c r="M3" i="4"/>
  <c r="L2" i="4"/>
  <c r="C11" i="5"/>
  <c r="J2" i="4"/>
  <c r="AD6" i="28"/>
  <c r="E18" i="28"/>
  <c r="AC7" i="28"/>
  <c r="E19" i="28" s="1"/>
  <c r="D5" i="5"/>
  <c r="B9" i="2"/>
  <c r="B12" i="2" s="1"/>
  <c r="C20" i="2"/>
  <c r="Q27" i="4"/>
  <c r="R26" i="4"/>
  <c r="E33" i="8" l="1"/>
  <c r="P18" i="4"/>
  <c r="Q6" i="4"/>
  <c r="M2" i="4"/>
  <c r="U7" i="4"/>
  <c r="C25" i="3"/>
  <c r="D25" i="3" s="1"/>
  <c r="C23" i="3"/>
  <c r="D23" i="3" s="1"/>
  <c r="C26" i="3"/>
  <c r="D26" i="3" s="1"/>
  <c r="J12" i="4"/>
  <c r="J16" i="4" s="1"/>
  <c r="C6" i="5"/>
  <c r="L12" i="4"/>
  <c r="L16" i="4" s="1"/>
  <c r="L10" i="4"/>
  <c r="C32" i="5"/>
  <c r="D32" i="5" s="1"/>
  <c r="J10" i="4"/>
  <c r="E35" i="8"/>
  <c r="K9" i="4" s="1"/>
  <c r="F8" i="28"/>
  <c r="F9" i="28" s="1"/>
  <c r="I34" i="4" s="1"/>
  <c r="G5" i="28"/>
  <c r="C19" i="2"/>
  <c r="C18" i="2"/>
  <c r="H36" i="4"/>
  <c r="H37" i="4"/>
  <c r="D11" i="5"/>
  <c r="AE6" i="28"/>
  <c r="F18" i="28"/>
  <c r="AD7" i="28"/>
  <c r="F19" i="28" s="1"/>
  <c r="N3" i="4"/>
  <c r="R27" i="4"/>
  <c r="S26" i="4"/>
  <c r="K11" i="4" l="1"/>
  <c r="K20" i="4" s="1"/>
  <c r="Q18" i="4"/>
  <c r="R6" i="4"/>
  <c r="C31" i="5"/>
  <c r="D31" i="5" s="1"/>
  <c r="D33" i="5" s="1"/>
  <c r="C25" i="5"/>
  <c r="D25" i="5" s="1"/>
  <c r="D27" i="5" s="1"/>
  <c r="K19" i="4"/>
  <c r="N2" i="4"/>
  <c r="V7" i="4"/>
  <c r="D27" i="3"/>
  <c r="J9" i="4"/>
  <c r="J19" i="4" s="1"/>
  <c r="M12" i="4"/>
  <c r="M16" i="4" s="1"/>
  <c r="D6" i="5"/>
  <c r="D7" i="5" s="1"/>
  <c r="C7" i="5"/>
  <c r="M10" i="4"/>
  <c r="L9" i="4"/>
  <c r="L19" i="4" s="1"/>
  <c r="G8" i="28"/>
  <c r="G9" i="28" s="1"/>
  <c r="J34" i="4" s="1"/>
  <c r="H5" i="28"/>
  <c r="I36" i="4"/>
  <c r="I37" i="4"/>
  <c r="O3" i="4"/>
  <c r="C21" i="2"/>
  <c r="K4" i="4" s="1"/>
  <c r="K17" i="4" s="1"/>
  <c r="AF6" i="28"/>
  <c r="G18" i="28"/>
  <c r="AE7" i="28"/>
  <c r="G19" i="28" s="1"/>
  <c r="S27" i="4"/>
  <c r="T26" i="4"/>
  <c r="J11" i="4" l="1"/>
  <c r="J20" i="4" s="1"/>
  <c r="L11" i="4"/>
  <c r="C33" i="5"/>
  <c r="C27" i="5"/>
  <c r="S6" i="4"/>
  <c r="R18" i="4"/>
  <c r="O2" i="4"/>
  <c r="W7" i="4"/>
  <c r="N12" i="4"/>
  <c r="N16" i="4" s="1"/>
  <c r="N10" i="4"/>
  <c r="M9" i="4"/>
  <c r="I5" i="28"/>
  <c r="H8" i="28"/>
  <c r="H9" i="28" s="1"/>
  <c r="K34" i="4" s="1"/>
  <c r="AG6" i="28"/>
  <c r="AF7" i="28"/>
  <c r="H19" i="28" s="1"/>
  <c r="H18" i="28"/>
  <c r="L4" i="4"/>
  <c r="C12" i="5"/>
  <c r="J4" i="4"/>
  <c r="J17" i="4" s="1"/>
  <c r="P3" i="4"/>
  <c r="T27" i="4"/>
  <c r="U26" i="4"/>
  <c r="M11" i="4" l="1"/>
  <c r="L20" i="4"/>
  <c r="S18" i="4"/>
  <c r="T6" i="4"/>
  <c r="M4" i="4"/>
  <c r="L17" i="4"/>
  <c r="N9" i="4"/>
  <c r="N19" i="4" s="1"/>
  <c r="M19" i="4"/>
  <c r="P2" i="4"/>
  <c r="X7" i="4"/>
  <c r="O12" i="4"/>
  <c r="O16" i="4" s="1"/>
  <c r="O10" i="4"/>
  <c r="J5" i="28"/>
  <c r="I8" i="28"/>
  <c r="I9" i="28" s="1"/>
  <c r="L34" i="4" s="1"/>
  <c r="O9" i="4"/>
  <c r="O19" i="4" s="1"/>
  <c r="Q3" i="4"/>
  <c r="D12" i="5"/>
  <c r="AH6" i="28"/>
  <c r="AG7" i="28"/>
  <c r="I19" i="28" s="1"/>
  <c r="I18" i="28"/>
  <c r="U27" i="4"/>
  <c r="V26" i="4"/>
  <c r="N11" i="4" l="1"/>
  <c r="M20" i="4"/>
  <c r="U6" i="4"/>
  <c r="T18" i="4"/>
  <c r="Q2" i="4"/>
  <c r="N4" i="4"/>
  <c r="M17" i="4"/>
  <c r="Y7" i="4"/>
  <c r="P12" i="4"/>
  <c r="P16" i="4" s="1"/>
  <c r="P10" i="4"/>
  <c r="P9" i="4"/>
  <c r="P19" i="4" s="1"/>
  <c r="K5" i="28"/>
  <c r="J8" i="28"/>
  <c r="J9" i="28" s="1"/>
  <c r="M34" i="4" s="1"/>
  <c r="AI6" i="28"/>
  <c r="AH7" i="28"/>
  <c r="J19" i="28" s="1"/>
  <c r="J18" i="28"/>
  <c r="R3" i="4"/>
  <c r="W26" i="4"/>
  <c r="V27" i="4"/>
  <c r="O11" i="4" l="1"/>
  <c r="N20" i="4"/>
  <c r="V6" i="4"/>
  <c r="U18" i="4"/>
  <c r="R2" i="4"/>
  <c r="O4" i="4"/>
  <c r="N17" i="4"/>
  <c r="Z7" i="4"/>
  <c r="Q12" i="4"/>
  <c r="Q16" i="4" s="1"/>
  <c r="K22" i="4"/>
  <c r="K29" i="4" s="1"/>
  <c r="K31" i="4" s="1"/>
  <c r="K36" i="4" s="1"/>
  <c r="Q10" i="4"/>
  <c r="Q9" i="4"/>
  <c r="Q19" i="4" s="1"/>
  <c r="L5" i="28"/>
  <c r="K8" i="28"/>
  <c r="K9" i="28" s="1"/>
  <c r="N34" i="4" s="1"/>
  <c r="S3" i="4"/>
  <c r="AJ6" i="28"/>
  <c r="AI7" i="28"/>
  <c r="K19" i="28" s="1"/>
  <c r="K18" i="28"/>
  <c r="W27" i="4"/>
  <c r="X26" i="4"/>
  <c r="P11" i="4" l="1"/>
  <c r="O20" i="4"/>
  <c r="W6" i="4"/>
  <c r="V18" i="4"/>
  <c r="P4" i="4"/>
  <c r="O17" i="4"/>
  <c r="S2" i="4"/>
  <c r="AA7" i="4"/>
  <c r="K32" i="4"/>
  <c r="K37" i="4" s="1"/>
  <c r="R12" i="4"/>
  <c r="R16" i="4" s="1"/>
  <c r="L22" i="4"/>
  <c r="L29" i="4" s="1"/>
  <c r="J22" i="4"/>
  <c r="J29" i="4" s="1"/>
  <c r="R10" i="4"/>
  <c r="L8" i="28"/>
  <c r="L9" i="28" s="1"/>
  <c r="O34" i="4" s="1"/>
  <c r="M5" i="28"/>
  <c r="R9" i="4"/>
  <c r="R19" i="4" s="1"/>
  <c r="AK6" i="28"/>
  <c r="AJ7" i="28"/>
  <c r="L19" i="28" s="1"/>
  <c r="L18" i="28"/>
  <c r="T3" i="4"/>
  <c r="X27" i="4"/>
  <c r="Y26" i="4"/>
  <c r="Q11" i="4" l="1"/>
  <c r="P20" i="4"/>
  <c r="D13" i="5"/>
  <c r="D37" i="5" s="1"/>
  <c r="C13" i="5"/>
  <c r="C37" i="5" s="1"/>
  <c r="X6" i="4"/>
  <c r="W18" i="4"/>
  <c r="T2" i="4"/>
  <c r="Q4" i="4"/>
  <c r="P17" i="4"/>
  <c r="AB7" i="4"/>
  <c r="S12" i="4"/>
  <c r="S16" i="4" s="1"/>
  <c r="M22" i="4"/>
  <c r="M29" i="4" s="1"/>
  <c r="J31" i="4"/>
  <c r="J36" i="4" s="1"/>
  <c r="J32" i="4"/>
  <c r="J37" i="4" s="1"/>
  <c r="L32" i="4"/>
  <c r="L37" i="4" s="1"/>
  <c r="L31" i="4"/>
  <c r="L36" i="4" s="1"/>
  <c r="S10" i="4"/>
  <c r="S9" i="4"/>
  <c r="S19" i="4" s="1"/>
  <c r="M8" i="28"/>
  <c r="M9" i="28" s="1"/>
  <c r="P34" i="4" s="1"/>
  <c r="N5" i="28"/>
  <c r="AL6" i="28"/>
  <c r="AK7" i="28"/>
  <c r="M19" i="28" s="1"/>
  <c r="M18" i="28"/>
  <c r="U3" i="4"/>
  <c r="Y27" i="4"/>
  <c r="Z26" i="4"/>
  <c r="R11" i="4" l="1"/>
  <c r="Q20" i="4"/>
  <c r="Y6" i="4"/>
  <c r="X18" i="4"/>
  <c r="R4" i="4"/>
  <c r="Q17" i="4"/>
  <c r="U2" i="4"/>
  <c r="AC7" i="4"/>
  <c r="T12" i="4"/>
  <c r="T16" i="4" s="1"/>
  <c r="M31" i="4"/>
  <c r="M36" i="4" s="1"/>
  <c r="M32" i="4"/>
  <c r="M37" i="4" s="1"/>
  <c r="N22" i="4"/>
  <c r="N29" i="4" s="1"/>
  <c r="T10" i="4"/>
  <c r="O5" i="28"/>
  <c r="N8" i="28"/>
  <c r="N9" i="28" s="1"/>
  <c r="Q34" i="4" s="1"/>
  <c r="T9" i="4"/>
  <c r="T19" i="4" s="1"/>
  <c r="V3" i="4"/>
  <c r="AM6" i="28"/>
  <c r="AL7" i="28"/>
  <c r="N19" i="28" s="1"/>
  <c r="N18" i="28"/>
  <c r="AA26" i="4"/>
  <c r="Z27" i="4"/>
  <c r="S11" i="4" l="1"/>
  <c r="R20" i="4"/>
  <c r="Z6" i="4"/>
  <c r="Y18" i="4"/>
  <c r="S4" i="4"/>
  <c r="R17" i="4"/>
  <c r="V2" i="4"/>
  <c r="AD7" i="4"/>
  <c r="U12" i="4"/>
  <c r="U16" i="4" s="1"/>
  <c r="N32" i="4"/>
  <c r="N37" i="4" s="1"/>
  <c r="N31" i="4"/>
  <c r="N36" i="4" s="1"/>
  <c r="O22" i="4"/>
  <c r="O29" i="4" s="1"/>
  <c r="U10" i="4"/>
  <c r="U9" i="4"/>
  <c r="U19" i="4" s="1"/>
  <c r="O8" i="28"/>
  <c r="O9" i="28" s="1"/>
  <c r="R34" i="4" s="1"/>
  <c r="P5" i="28"/>
  <c r="AN6" i="28"/>
  <c r="AM7" i="28"/>
  <c r="O19" i="28" s="1"/>
  <c r="O18" i="28"/>
  <c r="W3" i="4"/>
  <c r="AB26" i="4"/>
  <c r="AA27" i="4"/>
  <c r="T11" i="4" l="1"/>
  <c r="S20" i="4"/>
  <c r="AA6" i="4"/>
  <c r="Z18" i="4"/>
  <c r="T4" i="4"/>
  <c r="S17" i="4"/>
  <c r="W2" i="4"/>
  <c r="AE7" i="4"/>
  <c r="V12" i="4"/>
  <c r="V16" i="4" s="1"/>
  <c r="O31" i="4"/>
  <c r="O36" i="4" s="1"/>
  <c r="O32" i="4"/>
  <c r="O37" i="4" s="1"/>
  <c r="P22" i="4"/>
  <c r="P29" i="4" s="1"/>
  <c r="V10" i="4"/>
  <c r="Q5" i="28"/>
  <c r="P8" i="28"/>
  <c r="P9" i="28" s="1"/>
  <c r="S34" i="4" s="1"/>
  <c r="V9" i="4"/>
  <c r="V19" i="4" s="1"/>
  <c r="X3" i="4"/>
  <c r="AO6" i="28"/>
  <c r="AN7" i="28"/>
  <c r="P19" i="28" s="1"/>
  <c r="P18" i="28"/>
  <c r="AC26" i="4"/>
  <c r="AB27" i="4"/>
  <c r="U11" i="4" l="1"/>
  <c r="T20" i="4"/>
  <c r="AB6" i="4"/>
  <c r="AA18" i="4"/>
  <c r="X2" i="4"/>
  <c r="U4" i="4"/>
  <c r="T17" i="4"/>
  <c r="AF7" i="4"/>
  <c r="W12" i="4"/>
  <c r="W16" i="4" s="1"/>
  <c r="Q22" i="4"/>
  <c r="Q29" i="4" s="1"/>
  <c r="P31" i="4"/>
  <c r="P36" i="4" s="1"/>
  <c r="P32" i="4"/>
  <c r="P37" i="4" s="1"/>
  <c r="W10" i="4"/>
  <c r="W9" i="4"/>
  <c r="W19" i="4" s="1"/>
  <c r="Q8" i="28"/>
  <c r="Q9" i="28" s="1"/>
  <c r="T34" i="4" s="1"/>
  <c r="R5" i="28"/>
  <c r="AP6" i="28"/>
  <c r="AO7" i="28"/>
  <c r="Q19" i="28" s="1"/>
  <c r="Q18" i="28"/>
  <c r="Y3" i="4"/>
  <c r="AD26" i="4"/>
  <c r="AC27" i="4"/>
  <c r="V11" i="4" l="1"/>
  <c r="U20" i="4"/>
  <c r="AC6" i="4"/>
  <c r="AB18" i="4"/>
  <c r="V4" i="4"/>
  <c r="U17" i="4"/>
  <c r="Y2" i="4"/>
  <c r="AG7" i="4"/>
  <c r="X12" i="4"/>
  <c r="X16" i="4" s="1"/>
  <c r="R22" i="4"/>
  <c r="R29" i="4" s="1"/>
  <c r="Q31" i="4"/>
  <c r="Q36" i="4" s="1"/>
  <c r="Q32" i="4"/>
  <c r="Q37" i="4" s="1"/>
  <c r="X10" i="4"/>
  <c r="S5" i="28"/>
  <c r="R8" i="28"/>
  <c r="R9" i="28" s="1"/>
  <c r="U34" i="4" s="1"/>
  <c r="X9" i="4"/>
  <c r="X19" i="4" s="1"/>
  <c r="Z3" i="4"/>
  <c r="AQ6" i="28"/>
  <c r="AP7" i="28"/>
  <c r="R19" i="28" s="1"/>
  <c r="R18" i="28"/>
  <c r="AE26" i="4"/>
  <c r="AD27" i="4"/>
  <c r="W11" i="4" l="1"/>
  <c r="V20" i="4"/>
  <c r="AD6" i="4"/>
  <c r="AC18" i="4"/>
  <c r="Z2" i="4"/>
  <c r="W4" i="4"/>
  <c r="V17" i="4"/>
  <c r="AH7" i="4"/>
  <c r="Y12" i="4"/>
  <c r="Y16" i="4" s="1"/>
  <c r="S22" i="4"/>
  <c r="S29" i="4" s="1"/>
  <c r="R32" i="4"/>
  <c r="R37" i="4" s="1"/>
  <c r="R31" i="4"/>
  <c r="R36" i="4" s="1"/>
  <c r="Y10" i="4"/>
  <c r="Y9" i="4"/>
  <c r="Y19" i="4" s="1"/>
  <c r="S8" i="28"/>
  <c r="S9" i="28" s="1"/>
  <c r="V34" i="4" s="1"/>
  <c r="T5" i="28"/>
  <c r="AR6" i="28"/>
  <c r="AQ7" i="28"/>
  <c r="S19" i="28" s="1"/>
  <c r="S18" i="28"/>
  <c r="AA3" i="4"/>
  <c r="AE27" i="4"/>
  <c r="AF26" i="4"/>
  <c r="X11" i="4" l="1"/>
  <c r="W20" i="4"/>
  <c r="AE6" i="4"/>
  <c r="AD18" i="4"/>
  <c r="AA2" i="4"/>
  <c r="X4" i="4"/>
  <c r="W17" i="4"/>
  <c r="AI7" i="4"/>
  <c r="Z12" i="4"/>
  <c r="Z16" i="4" s="1"/>
  <c r="S31" i="4"/>
  <c r="S36" i="4" s="1"/>
  <c r="S32" i="4"/>
  <c r="S37" i="4" s="1"/>
  <c r="Z10" i="4"/>
  <c r="U5" i="28"/>
  <c r="T8" i="28"/>
  <c r="T9" i="28" s="1"/>
  <c r="W34" i="4" s="1"/>
  <c r="Z9" i="4"/>
  <c r="Z19" i="4" s="1"/>
  <c r="AB3" i="4"/>
  <c r="AS6" i="28"/>
  <c r="AR7" i="28"/>
  <c r="T19" i="28" s="1"/>
  <c r="T18" i="28"/>
  <c r="AG26" i="4"/>
  <c r="AF27" i="4"/>
  <c r="Y11" i="4" l="1"/>
  <c r="X20" i="4"/>
  <c r="AF6" i="4"/>
  <c r="AE18" i="4"/>
  <c r="AB2" i="4"/>
  <c r="Y4" i="4"/>
  <c r="X17" i="4"/>
  <c r="AJ7" i="4"/>
  <c r="AA12" i="4"/>
  <c r="AA16" i="4" s="1"/>
  <c r="T22" i="4"/>
  <c r="T29" i="4" s="1"/>
  <c r="AA10" i="4"/>
  <c r="AA9" i="4"/>
  <c r="AA19" i="4" s="1"/>
  <c r="V5" i="28"/>
  <c r="U8" i="28"/>
  <c r="U9" i="28" s="1"/>
  <c r="X34" i="4" s="1"/>
  <c r="AT6" i="28"/>
  <c r="AS7" i="28"/>
  <c r="U19" i="28" s="1"/>
  <c r="U18" i="28"/>
  <c r="AC3" i="4"/>
  <c r="AG27" i="4"/>
  <c r="AH26" i="4"/>
  <c r="Z11" i="4" l="1"/>
  <c r="Y20" i="4"/>
  <c r="AG6" i="4"/>
  <c r="AF18" i="4"/>
  <c r="Z4" i="4"/>
  <c r="Y17" i="4"/>
  <c r="AC2" i="4"/>
  <c r="AK7" i="4"/>
  <c r="AB12" i="4"/>
  <c r="AB16" i="4" s="1"/>
  <c r="T32" i="4"/>
  <c r="T37" i="4" s="1"/>
  <c r="T31" i="4"/>
  <c r="T36" i="4" s="1"/>
  <c r="U22" i="4"/>
  <c r="U29" i="4" s="1"/>
  <c r="AB10" i="4"/>
  <c r="W5" i="28"/>
  <c r="V8" i="28"/>
  <c r="V9" i="28" s="1"/>
  <c r="Y34" i="4" s="1"/>
  <c r="AB9" i="4"/>
  <c r="AB19" i="4" s="1"/>
  <c r="AD3" i="4"/>
  <c r="AT7" i="28"/>
  <c r="V19" i="28" s="1"/>
  <c r="V18" i="28"/>
  <c r="AH27" i="4"/>
  <c r="AI26" i="4"/>
  <c r="AA11" i="4" l="1"/>
  <c r="Z20" i="4"/>
  <c r="AH6" i="4"/>
  <c r="AG18" i="4"/>
  <c r="AD2" i="4"/>
  <c r="AA4" i="4"/>
  <c r="Z17" i="4"/>
  <c r="AL7" i="4"/>
  <c r="AC12" i="4"/>
  <c r="AC16" i="4" s="1"/>
  <c r="U32" i="4"/>
  <c r="U37" i="4" s="1"/>
  <c r="U31" i="4"/>
  <c r="U36" i="4" s="1"/>
  <c r="V22" i="4"/>
  <c r="V29" i="4" s="1"/>
  <c r="AC10" i="4"/>
  <c r="AC9" i="4"/>
  <c r="AC19" i="4" s="1"/>
  <c r="W8" i="28"/>
  <c r="W9" i="28" s="1"/>
  <c r="Z34" i="4" s="1"/>
  <c r="X5" i="28"/>
  <c r="AE3" i="4"/>
  <c r="AJ26" i="4"/>
  <c r="AI27" i="4"/>
  <c r="AB11" i="4" l="1"/>
  <c r="AA20" i="4"/>
  <c r="AI6" i="4"/>
  <c r="AH18" i="4"/>
  <c r="AB4" i="4"/>
  <c r="AA17" i="4"/>
  <c r="AE2" i="4"/>
  <c r="AM7" i="4"/>
  <c r="AD12" i="4"/>
  <c r="AD16" i="4" s="1"/>
  <c r="W22" i="4"/>
  <c r="W29" i="4" s="1"/>
  <c r="V32" i="4"/>
  <c r="V37" i="4" s="1"/>
  <c r="V31" i="4"/>
  <c r="V36" i="4" s="1"/>
  <c r="AD10" i="4"/>
  <c r="Y5" i="28"/>
  <c r="X8" i="28"/>
  <c r="X9" i="28" s="1"/>
  <c r="AA34" i="4" s="1"/>
  <c r="AD9" i="4"/>
  <c r="AD19" i="4" s="1"/>
  <c r="AF3" i="4"/>
  <c r="AK26" i="4"/>
  <c r="AJ27" i="4"/>
  <c r="AC11" i="4" l="1"/>
  <c r="AB20" i="4"/>
  <c r="AJ6" i="4"/>
  <c r="AI18" i="4"/>
  <c r="AC4" i="4"/>
  <c r="AB17" i="4"/>
  <c r="AF2" i="4"/>
  <c r="AN7" i="4"/>
  <c r="AE12" i="4"/>
  <c r="AE16" i="4" s="1"/>
  <c r="W32" i="4"/>
  <c r="W37" i="4" s="1"/>
  <c r="W31" i="4"/>
  <c r="W36" i="4" s="1"/>
  <c r="X22" i="4"/>
  <c r="X29" i="4" s="1"/>
  <c r="AE10" i="4"/>
  <c r="Z5" i="28"/>
  <c r="Y8" i="28"/>
  <c r="Y9" i="28" s="1"/>
  <c r="AB34" i="4" s="1"/>
  <c r="AE9" i="4"/>
  <c r="AE19" i="4" s="1"/>
  <c r="AG3" i="4"/>
  <c r="AK27" i="4"/>
  <c r="AL26" i="4"/>
  <c r="AD11" i="4" l="1"/>
  <c r="AC20" i="4"/>
  <c r="AK6" i="4"/>
  <c r="AJ18" i="4"/>
  <c r="AG2" i="4"/>
  <c r="AD4" i="4"/>
  <c r="AC17" i="4"/>
  <c r="AO7" i="4"/>
  <c r="AF12" i="4"/>
  <c r="AF16" i="4" s="1"/>
  <c r="X32" i="4"/>
  <c r="X37" i="4" s="1"/>
  <c r="X31" i="4"/>
  <c r="X36" i="4" s="1"/>
  <c r="Y22" i="4"/>
  <c r="Y29" i="4" s="1"/>
  <c r="AF10" i="4"/>
  <c r="AF9" i="4"/>
  <c r="AF19" i="4" s="1"/>
  <c r="B17" i="28"/>
  <c r="AA5" i="28"/>
  <c r="Z8" i="28"/>
  <c r="AH3" i="4"/>
  <c r="AL27" i="4"/>
  <c r="AM26" i="4"/>
  <c r="AE11" i="4" l="1"/>
  <c r="AD20" i="4"/>
  <c r="AL6" i="4"/>
  <c r="AK18" i="4"/>
  <c r="AE4" i="4"/>
  <c r="AD17" i="4"/>
  <c r="AH2" i="4"/>
  <c r="AP7" i="4"/>
  <c r="AG12" i="4"/>
  <c r="AG16" i="4" s="1"/>
  <c r="Y32" i="4"/>
  <c r="Y37" i="4" s="1"/>
  <c r="Y31" i="4"/>
  <c r="Y36" i="4" s="1"/>
  <c r="Z22" i="4"/>
  <c r="Z29" i="4" s="1"/>
  <c r="AG10" i="4"/>
  <c r="Z9" i="28"/>
  <c r="B20" i="28"/>
  <c r="C17" i="28"/>
  <c r="AB5" i="28"/>
  <c r="AA8" i="28"/>
  <c r="AG9" i="4"/>
  <c r="AG19" i="4" s="1"/>
  <c r="AI3" i="4"/>
  <c r="AM27" i="4"/>
  <c r="AN26" i="4"/>
  <c r="AF11" i="4" l="1"/>
  <c r="AE20" i="4"/>
  <c r="AM6" i="4"/>
  <c r="AL18" i="4"/>
  <c r="AF4" i="4"/>
  <c r="AE17" i="4"/>
  <c r="AI2" i="4"/>
  <c r="AQ7" i="4"/>
  <c r="AH12" i="4"/>
  <c r="AH16" i="4" s="1"/>
  <c r="Z32" i="4"/>
  <c r="Z37" i="4" s="1"/>
  <c r="Z31" i="4"/>
  <c r="Z36" i="4" s="1"/>
  <c r="AA22" i="4"/>
  <c r="AA29" i="4" s="1"/>
  <c r="AH10" i="4"/>
  <c r="C20" i="28"/>
  <c r="AA9" i="28"/>
  <c r="B21" i="28"/>
  <c r="AC34" i="4"/>
  <c r="AH9" i="4"/>
  <c r="AH19" i="4" s="1"/>
  <c r="AC5" i="28"/>
  <c r="AB8" i="28"/>
  <c r="D17" i="28"/>
  <c r="AJ3" i="4"/>
  <c r="AO26" i="4"/>
  <c r="AN27" i="4"/>
  <c r="AG11" i="4" l="1"/>
  <c r="AF20" i="4"/>
  <c r="AN6" i="4"/>
  <c r="AM18" i="4"/>
  <c r="AG4" i="4"/>
  <c r="AF17" i="4"/>
  <c r="AJ2" i="4"/>
  <c r="AR7" i="4"/>
  <c r="AI12" i="4"/>
  <c r="AI16" i="4" s="1"/>
  <c r="AA31" i="4"/>
  <c r="AA36" i="4" s="1"/>
  <c r="AA32" i="4"/>
  <c r="AA37" i="4" s="1"/>
  <c r="AB22" i="4"/>
  <c r="AB29" i="4" s="1"/>
  <c r="AI10" i="4"/>
  <c r="AD5" i="28"/>
  <c r="AC8" i="28"/>
  <c r="E17" i="28"/>
  <c r="D20" i="28"/>
  <c r="AB9" i="28"/>
  <c r="AI9" i="4"/>
  <c r="AI19" i="4" s="1"/>
  <c r="C21" i="28"/>
  <c r="AD34" i="4"/>
  <c r="AK3" i="4"/>
  <c r="AO27" i="4"/>
  <c r="AP26" i="4"/>
  <c r="AH11" i="4" l="1"/>
  <c r="AG20" i="4"/>
  <c r="AO6" i="4"/>
  <c r="AN18" i="4"/>
  <c r="AH4" i="4"/>
  <c r="AG17" i="4"/>
  <c r="AK2" i="4"/>
  <c r="AS7" i="4"/>
  <c r="AJ12" i="4"/>
  <c r="AJ16" i="4" s="1"/>
  <c r="AB31" i="4"/>
  <c r="AB36" i="4" s="1"/>
  <c r="AB32" i="4"/>
  <c r="AB37" i="4" s="1"/>
  <c r="AC22" i="4"/>
  <c r="AC29" i="4" s="1"/>
  <c r="AJ10" i="4"/>
  <c r="AJ9" i="4"/>
  <c r="AJ19" i="4" s="1"/>
  <c r="D21" i="28"/>
  <c r="AE34" i="4"/>
  <c r="AE5" i="28"/>
  <c r="AD8" i="28"/>
  <c r="F17" i="28"/>
  <c r="E20" i="28"/>
  <c r="AC9" i="28"/>
  <c r="AL3" i="4"/>
  <c r="AQ26" i="4"/>
  <c r="AP27" i="4"/>
  <c r="AI11" i="4" l="1"/>
  <c r="AH20" i="4"/>
  <c r="AP6" i="4"/>
  <c r="AO18" i="4"/>
  <c r="AI4" i="4"/>
  <c r="AH17" i="4"/>
  <c r="AL2" i="4"/>
  <c r="AT7" i="4"/>
  <c r="AK12" i="4"/>
  <c r="AK16" i="4" s="1"/>
  <c r="AC32" i="4"/>
  <c r="AC37" i="4" s="1"/>
  <c r="AC31" i="4"/>
  <c r="AC36" i="4" s="1"/>
  <c r="AD22" i="4"/>
  <c r="AD29" i="4" s="1"/>
  <c r="AK10" i="4"/>
  <c r="E21" i="28"/>
  <c r="AF34" i="4"/>
  <c r="G17" i="28"/>
  <c r="AF5" i="28"/>
  <c r="AE8" i="28"/>
  <c r="AK9" i="4"/>
  <c r="AK19" i="4" s="1"/>
  <c r="F20" i="28"/>
  <c r="AD9" i="28"/>
  <c r="AM3" i="4"/>
  <c r="AQ27" i="4"/>
  <c r="AR26" i="4"/>
  <c r="AJ11" i="4" l="1"/>
  <c r="AI20" i="4"/>
  <c r="AQ6" i="4"/>
  <c r="AP18" i="4"/>
  <c r="AM2" i="4"/>
  <c r="AJ4" i="4"/>
  <c r="AI17" i="4"/>
  <c r="AU7" i="4"/>
  <c r="AL12" i="4"/>
  <c r="AL16" i="4" s="1"/>
  <c r="AD31" i="4"/>
  <c r="AD36" i="4" s="1"/>
  <c r="AD32" i="4"/>
  <c r="AD37" i="4" s="1"/>
  <c r="AE22" i="4"/>
  <c r="AE29" i="4" s="1"/>
  <c r="AL10" i="4"/>
  <c r="F21" i="28"/>
  <c r="AG34" i="4"/>
  <c r="G20" i="28"/>
  <c r="AE9" i="28"/>
  <c r="AL9" i="4"/>
  <c r="AL19" i="4" s="1"/>
  <c r="H17" i="28"/>
  <c r="AG5" i="28"/>
  <c r="AF8" i="28"/>
  <c r="AN3" i="4"/>
  <c r="AR27" i="4"/>
  <c r="AS26" i="4"/>
  <c r="AK11" i="4" l="1"/>
  <c r="AJ20" i="4"/>
  <c r="AR6" i="4"/>
  <c r="AQ18" i="4"/>
  <c r="AK4" i="4"/>
  <c r="AJ17" i="4"/>
  <c r="AN2" i="4"/>
  <c r="AV7" i="4"/>
  <c r="AM12" i="4"/>
  <c r="AM16" i="4" s="1"/>
  <c r="AE31" i="4"/>
  <c r="AE36" i="4" s="1"/>
  <c r="AE32" i="4"/>
  <c r="AE37" i="4" s="1"/>
  <c r="AF22" i="4"/>
  <c r="AF29" i="4" s="1"/>
  <c r="AM10" i="4"/>
  <c r="AF9" i="28"/>
  <c r="H20" i="28"/>
  <c r="AG8" i="28"/>
  <c r="I17" i="28"/>
  <c r="AH5" i="28"/>
  <c r="AM9" i="4"/>
  <c r="AM19" i="4" s="1"/>
  <c r="G21" i="28"/>
  <c r="AH34" i="4"/>
  <c r="AO3" i="4"/>
  <c r="AT26" i="4"/>
  <c r="AS27" i="4"/>
  <c r="AL11" i="4" l="1"/>
  <c r="AK20" i="4"/>
  <c r="AS6" i="4"/>
  <c r="AR18" i="4"/>
  <c r="AO2" i="4"/>
  <c r="AL4" i="4"/>
  <c r="AK17" i="4"/>
  <c r="AW7" i="4"/>
  <c r="AN12" i="4"/>
  <c r="AN16" i="4" s="1"/>
  <c r="AF31" i="4"/>
  <c r="AF36" i="4" s="1"/>
  <c r="AF32" i="4"/>
  <c r="AF37" i="4" s="1"/>
  <c r="AG22" i="4"/>
  <c r="AG29" i="4" s="1"/>
  <c r="AN10" i="4"/>
  <c r="J17" i="28"/>
  <c r="AI5" i="28"/>
  <c r="AH8" i="28"/>
  <c r="I20" i="28"/>
  <c r="AG9" i="28"/>
  <c r="AI34" i="4"/>
  <c r="H21" i="28"/>
  <c r="AN9" i="4"/>
  <c r="AN19" i="4" s="1"/>
  <c r="AP3" i="4"/>
  <c r="AU26" i="4"/>
  <c r="AT27" i="4"/>
  <c r="AM11" i="4" l="1"/>
  <c r="AL20" i="4"/>
  <c r="AT6" i="4"/>
  <c r="AS18" i="4"/>
  <c r="AM4" i="4"/>
  <c r="AL17" i="4"/>
  <c r="AP2" i="4"/>
  <c r="AX7" i="4"/>
  <c r="AO12" i="4"/>
  <c r="AO16" i="4" s="1"/>
  <c r="AG31" i="4"/>
  <c r="AG36" i="4" s="1"/>
  <c r="AG32" i="4"/>
  <c r="AG37" i="4" s="1"/>
  <c r="AH22" i="4"/>
  <c r="AH29" i="4" s="1"/>
  <c r="AO10" i="4"/>
  <c r="AO9" i="4"/>
  <c r="AO19" i="4" s="1"/>
  <c r="AI8" i="28"/>
  <c r="K17" i="28"/>
  <c r="AJ5" i="28"/>
  <c r="I21" i="28"/>
  <c r="AJ34" i="4"/>
  <c r="AH9" i="28"/>
  <c r="J20" i="28"/>
  <c r="AQ3" i="4"/>
  <c r="AV26" i="4"/>
  <c r="AU27" i="4"/>
  <c r="AN11" i="4" l="1"/>
  <c r="AM20" i="4"/>
  <c r="AU6" i="4"/>
  <c r="AT18" i="4"/>
  <c r="AN4" i="4"/>
  <c r="AM17" i="4"/>
  <c r="AQ2" i="4"/>
  <c r="AP12" i="4"/>
  <c r="AP16" i="4" s="1"/>
  <c r="AI22" i="4"/>
  <c r="AI29" i="4" s="1"/>
  <c r="AH32" i="4"/>
  <c r="AH37" i="4" s="1"/>
  <c r="AH31" i="4"/>
  <c r="AH36" i="4" s="1"/>
  <c r="AP10" i="4"/>
  <c r="AK34" i="4"/>
  <c r="J21" i="28"/>
  <c r="AP9" i="4"/>
  <c r="AP19" i="4" s="1"/>
  <c r="L17" i="28"/>
  <c r="AK5" i="28"/>
  <c r="AJ8" i="28"/>
  <c r="K20" i="28"/>
  <c r="AI9" i="28"/>
  <c r="AR3" i="4"/>
  <c r="AV27" i="4"/>
  <c r="AW26" i="4"/>
  <c r="AO11" i="4" l="1"/>
  <c r="AN20" i="4"/>
  <c r="AV6" i="4"/>
  <c r="AU18" i="4"/>
  <c r="AR2" i="4"/>
  <c r="AO4" i="4"/>
  <c r="AN17" i="4"/>
  <c r="AQ12" i="4"/>
  <c r="AQ16" i="4" s="1"/>
  <c r="AI31" i="4"/>
  <c r="AI36" i="4" s="1"/>
  <c r="AI32" i="4"/>
  <c r="AI37" i="4" s="1"/>
  <c r="AJ22" i="4"/>
  <c r="AJ29" i="4" s="1"/>
  <c r="AQ10" i="4"/>
  <c r="AK8" i="28"/>
  <c r="M17" i="28"/>
  <c r="AL5" i="28"/>
  <c r="AQ9" i="4"/>
  <c r="AQ19" i="4" s="1"/>
  <c r="AL34" i="4"/>
  <c r="K21" i="28"/>
  <c r="AJ9" i="28"/>
  <c r="L20" i="28"/>
  <c r="AS3" i="4"/>
  <c r="AX26" i="4"/>
  <c r="AW27" i="4"/>
  <c r="AP11" i="4" l="1"/>
  <c r="AO20" i="4"/>
  <c r="AV18" i="4"/>
  <c r="AW6" i="4"/>
  <c r="AP4" i="4"/>
  <c r="AO17" i="4"/>
  <c r="AS2" i="4"/>
  <c r="AR12" i="4"/>
  <c r="AR16" i="4" s="1"/>
  <c r="AJ32" i="4"/>
  <c r="AJ37" i="4" s="1"/>
  <c r="AJ31" i="4"/>
  <c r="AJ36" i="4" s="1"/>
  <c r="AK22" i="4"/>
  <c r="AK29" i="4" s="1"/>
  <c r="AR10" i="4"/>
  <c r="L21" i="28"/>
  <c r="AM34" i="4"/>
  <c r="AR9" i="4"/>
  <c r="AR19" i="4" s="1"/>
  <c r="AL8" i="28"/>
  <c r="N17" i="28"/>
  <c r="AM5" i="28"/>
  <c r="AK9" i="28"/>
  <c r="M20" i="28"/>
  <c r="AT3" i="4"/>
  <c r="AX27" i="4"/>
  <c r="D26" i="4"/>
  <c r="D27" i="4" s="1"/>
  <c r="D41" i="4" s="1"/>
  <c r="E26" i="4"/>
  <c r="E27" i="4" s="1"/>
  <c r="E41" i="4" s="1"/>
  <c r="C26" i="4"/>
  <c r="C27" i="4" s="1"/>
  <c r="C41" i="4" s="1"/>
  <c r="AQ11" i="4" l="1"/>
  <c r="AP20" i="4"/>
  <c r="AW18" i="4"/>
  <c r="AX6" i="4"/>
  <c r="AX18" i="4" s="1"/>
  <c r="AQ4" i="4"/>
  <c r="AP17" i="4"/>
  <c r="AT2" i="4"/>
  <c r="AS12" i="4"/>
  <c r="AS16" i="4" s="1"/>
  <c r="AK31" i="4"/>
  <c r="AK36" i="4" s="1"/>
  <c r="AK32" i="4"/>
  <c r="AK37" i="4" s="1"/>
  <c r="AL22" i="4"/>
  <c r="AL29" i="4" s="1"/>
  <c r="AS10" i="4"/>
  <c r="AN34" i="4"/>
  <c r="M21" i="28"/>
  <c r="AN5" i="28"/>
  <c r="AM8" i="28"/>
  <c r="O17" i="28"/>
  <c r="N20" i="28"/>
  <c r="AL9" i="28"/>
  <c r="AS9" i="4"/>
  <c r="AS19" i="4" s="1"/>
  <c r="AU3" i="4"/>
  <c r="AR11" i="4" l="1"/>
  <c r="AQ20" i="4"/>
  <c r="AR4" i="4"/>
  <c r="AQ17" i="4"/>
  <c r="AU2" i="4"/>
  <c r="C18" i="4"/>
  <c r="AT12" i="4"/>
  <c r="AT16" i="4" s="1"/>
  <c r="AL31" i="4"/>
  <c r="AL36" i="4" s="1"/>
  <c r="AL32" i="4"/>
  <c r="AL37" i="4" s="1"/>
  <c r="AM22" i="4"/>
  <c r="AM29" i="4" s="1"/>
  <c r="AT10" i="4"/>
  <c r="AT9" i="4"/>
  <c r="AT19" i="4" s="1"/>
  <c r="AM9" i="28"/>
  <c r="O20" i="28"/>
  <c r="N21" i="28"/>
  <c r="AO34" i="4"/>
  <c r="AN8" i="28"/>
  <c r="AO5" i="28"/>
  <c r="P17" i="28"/>
  <c r="AV3" i="4"/>
  <c r="E18" i="4"/>
  <c r="D18" i="4"/>
  <c r="AS11" i="4" l="1"/>
  <c r="AR20" i="4"/>
  <c r="AS4" i="4"/>
  <c r="AR17" i="4"/>
  <c r="AV2" i="4"/>
  <c r="AU12" i="4"/>
  <c r="AU16" i="4" s="1"/>
  <c r="AM32" i="4"/>
  <c r="AM37" i="4" s="1"/>
  <c r="AM31" i="4"/>
  <c r="AM36" i="4" s="1"/>
  <c r="AN22" i="4"/>
  <c r="AN29" i="4" s="1"/>
  <c r="AU10" i="4"/>
  <c r="AO8" i="28"/>
  <c r="Q17" i="28"/>
  <c r="AP5" i="28"/>
  <c r="AU9" i="4"/>
  <c r="AU19" i="4" s="1"/>
  <c r="P20" i="28"/>
  <c r="AN9" i="28"/>
  <c r="O21" i="28"/>
  <c r="AP34" i="4"/>
  <c r="AW3" i="4"/>
  <c r="AT11" i="4" l="1"/>
  <c r="AS20" i="4"/>
  <c r="AW2" i="4"/>
  <c r="AT4" i="4"/>
  <c r="AS17" i="4"/>
  <c r="AV12" i="4"/>
  <c r="AV16" i="4" s="1"/>
  <c r="AN31" i="4"/>
  <c r="AN36" i="4" s="1"/>
  <c r="AN32" i="4"/>
  <c r="AN37" i="4" s="1"/>
  <c r="AO22" i="4"/>
  <c r="AO29" i="4" s="1"/>
  <c r="AV10" i="4"/>
  <c r="P21" i="28"/>
  <c r="AQ34" i="4"/>
  <c r="AV9" i="4"/>
  <c r="AV19" i="4" s="1"/>
  <c r="AP8" i="28"/>
  <c r="R17" i="28"/>
  <c r="AQ5" i="28"/>
  <c r="AO9" i="28"/>
  <c r="Q20" i="28"/>
  <c r="AX3" i="4"/>
  <c r="AU11" i="4" l="1"/>
  <c r="AT20" i="4"/>
  <c r="AU4" i="4"/>
  <c r="AT17" i="4"/>
  <c r="AX2" i="4"/>
  <c r="AW12" i="4"/>
  <c r="AW16" i="4" s="1"/>
  <c r="AO32" i="4"/>
  <c r="AO37" i="4" s="1"/>
  <c r="AO31" i="4"/>
  <c r="AO36" i="4" s="1"/>
  <c r="AP22" i="4"/>
  <c r="AP29" i="4" s="1"/>
  <c r="AW10" i="4"/>
  <c r="AR34" i="4"/>
  <c r="Q21" i="28"/>
  <c r="AR5" i="28"/>
  <c r="AQ8" i="28"/>
  <c r="S17" i="28"/>
  <c r="R20" i="28"/>
  <c r="AP9" i="28"/>
  <c r="AW9" i="4"/>
  <c r="AW19" i="4" s="1"/>
  <c r="AV11" i="4" l="1"/>
  <c r="AU20" i="4"/>
  <c r="AV4" i="4"/>
  <c r="AU17" i="4"/>
  <c r="AX12" i="4"/>
  <c r="AX16" i="4" s="1"/>
  <c r="AP32" i="4"/>
  <c r="AP37" i="4" s="1"/>
  <c r="AP31" i="4"/>
  <c r="AP36" i="4" s="1"/>
  <c r="AQ22" i="4"/>
  <c r="AQ29" i="4" s="1"/>
  <c r="AQ32" i="4" s="1"/>
  <c r="AX10" i="4"/>
  <c r="AS34" i="4"/>
  <c r="R21" i="28"/>
  <c r="AR8" i="28"/>
  <c r="T17" i="28"/>
  <c r="AS5" i="28"/>
  <c r="AX9" i="4"/>
  <c r="AX19" i="4" s="1"/>
  <c r="AQ9" i="28"/>
  <c r="S20" i="28"/>
  <c r="AW11" i="4" l="1"/>
  <c r="AV20" i="4"/>
  <c r="AW4" i="4"/>
  <c r="AV17" i="4"/>
  <c r="AQ31" i="4"/>
  <c r="AQ36" i="4" s="1"/>
  <c r="D16" i="4"/>
  <c r="E16" i="4"/>
  <c r="C16" i="4"/>
  <c r="AR22" i="4"/>
  <c r="AR29" i="4" s="1"/>
  <c r="C19" i="4"/>
  <c r="S21" i="28"/>
  <c r="AT34" i="4"/>
  <c r="D19" i="4"/>
  <c r="AS8" i="28"/>
  <c r="U17" i="28"/>
  <c r="AT5" i="28"/>
  <c r="T20" i="28"/>
  <c r="AR9" i="28"/>
  <c r="E19" i="4"/>
  <c r="AQ37" i="4"/>
  <c r="AX11" i="4" l="1"/>
  <c r="AX20" i="4" s="1"/>
  <c r="AW20" i="4"/>
  <c r="AX4" i="4"/>
  <c r="AX17" i="4" s="1"/>
  <c r="AW17" i="4"/>
  <c r="AS22" i="4"/>
  <c r="AS29" i="4" s="1"/>
  <c r="AS32" i="4" s="1"/>
  <c r="AR31" i="4"/>
  <c r="AR36" i="4" s="1"/>
  <c r="AR32" i="4"/>
  <c r="AR37" i="4" s="1"/>
  <c r="T21" i="28"/>
  <c r="AU34" i="4"/>
  <c r="V17" i="28"/>
  <c r="AT8" i="28"/>
  <c r="AS9" i="28"/>
  <c r="AU8" i="28"/>
  <c r="W20" i="28" s="1"/>
  <c r="U20" i="28"/>
  <c r="C20" i="4" l="1"/>
  <c r="E20" i="4"/>
  <c r="D20" i="4"/>
  <c r="AS31" i="4"/>
  <c r="AS36" i="4" s="1"/>
  <c r="AT22" i="4"/>
  <c r="AT29" i="4" s="1"/>
  <c r="AT32" i="4" s="1"/>
  <c r="AT37" i="4" s="1"/>
  <c r="V20" i="28"/>
  <c r="AT9" i="28"/>
  <c r="U21" i="28"/>
  <c r="AV34" i="4"/>
  <c r="AU9" i="28"/>
  <c r="W21" i="28" s="1"/>
  <c r="AS37" i="4"/>
  <c r="AT31" i="4" l="1"/>
  <c r="AT36" i="4" s="1"/>
  <c r="AU22" i="4"/>
  <c r="AU29" i="4" s="1"/>
  <c r="V21" i="28"/>
  <c r="AW34" i="4"/>
  <c r="AU31" i="4" l="1"/>
  <c r="AU36" i="4" s="1"/>
  <c r="AU32" i="4"/>
  <c r="AU37" i="4" s="1"/>
  <c r="AV22" i="4"/>
  <c r="AV29" i="4" s="1"/>
  <c r="AV31" i="4" s="1"/>
  <c r="AV32" i="4" l="1"/>
  <c r="AV37" i="4" s="1"/>
  <c r="AW22" i="4"/>
  <c r="AW29" i="4" s="1"/>
  <c r="AW31" i="4" s="1"/>
  <c r="AW36" i="4" s="1"/>
  <c r="AV36" i="4"/>
  <c r="AW32" i="4" l="1"/>
  <c r="AW37" i="4" s="1"/>
  <c r="AX22" i="4" l="1"/>
  <c r="AX29" i="4" s="1"/>
  <c r="AX32" i="4" s="1"/>
  <c r="C17" i="4"/>
  <c r="C22" i="4" s="1"/>
  <c r="C40" i="4" s="1"/>
  <c r="C43" i="4" s="1"/>
  <c r="D17" i="4"/>
  <c r="D22" i="4" s="1"/>
  <c r="E17" i="4"/>
  <c r="E22" i="4" s="1"/>
  <c r="AX37" i="4" l="1"/>
  <c r="E37" i="4" s="1"/>
  <c r="E32" i="4"/>
  <c r="AX31" i="4"/>
  <c r="C44" i="4"/>
  <c r="D29" i="4"/>
  <c r="D40" i="4"/>
  <c r="E40" i="4"/>
  <c r="E29" i="4"/>
  <c r="C29" i="4"/>
  <c r="AX36" i="4" l="1"/>
  <c r="D36" i="4" s="1"/>
  <c r="D31" i="4"/>
  <c r="E42" i="4"/>
  <c r="E43" i="4"/>
  <c r="C42" i="4"/>
  <c r="D43" i="4"/>
  <c r="D42" i="4"/>
</calcChain>
</file>

<file path=xl/comments1.xml><?xml version="1.0" encoding="utf-8"?>
<comments xmlns="http://schemas.openxmlformats.org/spreadsheetml/2006/main">
  <authors>
    <author>Rust, Sean</author>
  </authors>
  <commentList>
    <comment ref="AN6" authorId="0">
      <text>
        <r>
          <rPr>
            <b/>
            <sz val="8"/>
            <color indexed="81"/>
            <rFont val="Tahoma"/>
            <family val="2"/>
          </rPr>
          <t>Rust, Sean:</t>
        </r>
        <r>
          <rPr>
            <sz val="8"/>
            <color indexed="81"/>
            <rFont val="Tahoma"/>
            <family val="2"/>
          </rPr>
          <t xml:space="preserve">
Last SCC rate given by EPA</t>
        </r>
      </text>
    </comment>
  </commentList>
</comments>
</file>

<file path=xl/connections.xml><?xml version="1.0" encoding="utf-8"?>
<connections xmlns="http://schemas.openxmlformats.org/spreadsheetml/2006/main">
  <connection id="1" name="Connection" type="4" refreshedVersion="0" background="1">
    <webPr url="http://research.stlouisfed.org/fred2/data/Table 1 - Nominal Adjustment.txt" htmlTables="1" htmlFormat="all"/>
  </connection>
</connections>
</file>

<file path=xl/sharedStrings.xml><?xml version="1.0" encoding="utf-8"?>
<sst xmlns="http://schemas.openxmlformats.org/spreadsheetml/2006/main" count="673" uniqueCount="466">
  <si>
    <t>Description</t>
  </si>
  <si>
    <t>Value</t>
  </si>
  <si>
    <t>Total</t>
  </si>
  <si>
    <t>Sources:</t>
  </si>
  <si>
    <t>Total Barrels of Oil</t>
  </si>
  <si>
    <t>Total Barrels of Oil Not Used</t>
  </si>
  <si>
    <t>Total Barrels of Oil Not Imported</t>
  </si>
  <si>
    <t>Total Costs</t>
  </si>
  <si>
    <t>Macro-Economic Costs</t>
  </si>
  <si>
    <t>National Security Costs</t>
  </si>
  <si>
    <t>Environmental Costs of Extraction</t>
  </si>
  <si>
    <t>Gallons/Barrel</t>
  </si>
  <si>
    <t>Gasoline/Barrel</t>
  </si>
  <si>
    <t>Assumptions</t>
  </si>
  <si>
    <t>Average Max/Barrel</t>
  </si>
  <si>
    <t>Total Prevented Injuries</t>
  </si>
  <si>
    <t>Total Prevented Deaths</t>
  </si>
  <si>
    <t>Summary of Benefits</t>
  </si>
  <si>
    <t>1. - State of Good Repair</t>
  </si>
  <si>
    <t>Subtotal</t>
  </si>
  <si>
    <t>2. - Economic Competiveness</t>
  </si>
  <si>
    <t>Existence Value - All Regional Residents</t>
  </si>
  <si>
    <t>4. - Environmental Sustainability</t>
  </si>
  <si>
    <t>5. - Safety</t>
  </si>
  <si>
    <t>TOTAL</t>
  </si>
  <si>
    <t>Increment</t>
  </si>
  <si>
    <t>Annual Value</t>
  </si>
  <si>
    <t>Year</t>
  </si>
  <si>
    <t>Time Period</t>
  </si>
  <si>
    <t>Benefits</t>
  </si>
  <si>
    <t>State of Good Repair</t>
  </si>
  <si>
    <t>Economic Competiveness</t>
  </si>
  <si>
    <t>Environmental Sustainability</t>
  </si>
  <si>
    <t>Safety</t>
  </si>
  <si>
    <t>Total Benefits</t>
  </si>
  <si>
    <t>Costs</t>
  </si>
  <si>
    <t>Net Benefits</t>
  </si>
  <si>
    <t>Nominal Sum</t>
  </si>
  <si>
    <t>All Years (7%)</t>
  </si>
  <si>
    <t>AIS 1</t>
  </si>
  <si>
    <t>AIS 2</t>
  </si>
  <si>
    <t>AIS 3</t>
  </si>
  <si>
    <t>AIS 4</t>
  </si>
  <si>
    <t>AIS 5</t>
  </si>
  <si>
    <t>Injuries Prevented</t>
  </si>
  <si>
    <t>Lives Saved</t>
  </si>
  <si>
    <t>Discount Rate</t>
  </si>
  <si>
    <t>Total Vehicle Miles Traveled (VMT) Reduced</t>
  </si>
  <si>
    <t>Pollution Reduction (tons)</t>
  </si>
  <si>
    <t>Reduced Local Traffic</t>
  </si>
  <si>
    <t>Operational Emissions</t>
  </si>
  <si>
    <t>CO2</t>
  </si>
  <si>
    <t>SO2</t>
  </si>
  <si>
    <t xml:space="preserve">CO </t>
  </si>
  <si>
    <t>NOX</t>
  </si>
  <si>
    <t>VOC</t>
  </si>
  <si>
    <t>PM10</t>
  </si>
  <si>
    <t>Non-operational Emissions</t>
  </si>
  <si>
    <t>Startup - CO</t>
  </si>
  <si>
    <t>Startup - Nox</t>
  </si>
  <si>
    <t>Startup - VOC</t>
  </si>
  <si>
    <t>Evaporative Losses - VOC</t>
  </si>
  <si>
    <t>Pollutant</t>
  </si>
  <si>
    <t>Money Saved</t>
  </si>
  <si>
    <t>Reduced Local Traffic Friction</t>
  </si>
  <si>
    <t>Cost Savings</t>
  </si>
  <si>
    <t>Present Value of Benefits</t>
  </si>
  <si>
    <t>Present Value of Costs</t>
  </si>
  <si>
    <t>Benefit / Cost Ratio</t>
  </si>
  <si>
    <t>Percentage Increase</t>
  </si>
  <si>
    <t>Increase in Market Values</t>
  </si>
  <si>
    <t>Total Increase in Market Values</t>
  </si>
  <si>
    <t>Total Value of Improved Experience for Visitors to the General Area</t>
  </si>
  <si>
    <t>Reduced Car Ownership</t>
  </si>
  <si>
    <t>Saturday</t>
  </si>
  <si>
    <t>Property value within 0.5 miles</t>
  </si>
  <si>
    <t>Property value within 0.25 miles</t>
  </si>
  <si>
    <t>VMT Reduced</t>
  </si>
  <si>
    <t>Gallons of Gas Not Used</t>
  </si>
  <si>
    <t>2 - Reduced Automobile Vehicle Miles Traveled (VMT) Benefits</t>
  </si>
  <si>
    <t>Table 2.2 - Fuel Cost Savings</t>
  </si>
  <si>
    <t>Table 2.3 - Maintenance Cost Savings</t>
  </si>
  <si>
    <t>3 - Reduced Oil Use</t>
  </si>
  <si>
    <t>Table 3.1 - Reduction in Oil Use</t>
  </si>
  <si>
    <t>Table 3.2 - Benefits of Reduced Oil Use</t>
  </si>
  <si>
    <t>Table 12.1 - Assumptions</t>
  </si>
  <si>
    <t>Table 12.2 - Real Estate Value Impacts</t>
  </si>
  <si>
    <t>Percent of Oil Imported</t>
  </si>
  <si>
    <t>Gallons of Gasoline Saved per Annum</t>
  </si>
  <si>
    <t>Reduced VMT per Annum</t>
  </si>
  <si>
    <t>Maintenance</t>
  </si>
  <si>
    <t>Tires</t>
  </si>
  <si>
    <t>All Years (3%)</t>
  </si>
  <si>
    <t>Item</t>
  </si>
  <si>
    <t>Price</t>
  </si>
  <si>
    <t>Average / Barrel</t>
  </si>
  <si>
    <t>Average  Min/Barrel</t>
  </si>
  <si>
    <t>Societal Costs - Used for Benefit Cost Analysis</t>
  </si>
  <si>
    <t>Benefit</t>
  </si>
  <si>
    <t>Category</t>
  </si>
  <si>
    <t>Real Estate Values</t>
  </si>
  <si>
    <t>Fraction of VSL</t>
  </si>
  <si>
    <t>Value of Statistical Life</t>
  </si>
  <si>
    <t>GDP Deflator</t>
  </si>
  <si>
    <t>Tab</t>
  </si>
  <si>
    <r>
      <t>Average Trip Length (miles)</t>
    </r>
    <r>
      <rPr>
        <vertAlign val="superscript"/>
        <sz val="10"/>
        <rFont val="Arial Narrow"/>
        <family val="2"/>
      </rPr>
      <t>1</t>
    </r>
  </si>
  <si>
    <r>
      <t>Average Fuel Efficiency</t>
    </r>
    <r>
      <rPr>
        <b/>
        <vertAlign val="superscript"/>
        <sz val="10"/>
        <color indexed="9"/>
        <rFont val="Arial Narrow"/>
        <family val="2"/>
      </rPr>
      <t>2</t>
    </r>
  </si>
  <si>
    <r>
      <t>Avg. Maintenance Costs/Mile</t>
    </r>
    <r>
      <rPr>
        <b/>
        <vertAlign val="superscript"/>
        <sz val="10"/>
        <color indexed="9"/>
        <rFont val="Arial Narrow"/>
        <family val="2"/>
      </rPr>
      <t>4</t>
    </r>
  </si>
  <si>
    <t>Reference</t>
  </si>
  <si>
    <t>Table 2.1</t>
  </si>
  <si>
    <r>
      <t>Nonfatal Injuries per 100 Million VMT per Annum</t>
    </r>
    <r>
      <rPr>
        <vertAlign val="superscript"/>
        <sz val="10"/>
        <rFont val="Arial Narrow"/>
        <family val="2"/>
      </rPr>
      <t>2</t>
    </r>
  </si>
  <si>
    <t>TIGER BCA Resource Guide</t>
  </si>
  <si>
    <t>Deaths per 100 Million VMT per Annum</t>
  </si>
  <si>
    <t>AIS 0</t>
  </si>
  <si>
    <t>Percent of Non Fatal Accidents</t>
  </si>
  <si>
    <t>Percent of Non Fatal Accidents with Injuries</t>
  </si>
  <si>
    <t>Expected Value</t>
  </si>
  <si>
    <t>Expected Value of Prevented injury</t>
  </si>
  <si>
    <t>Injury Severity</t>
  </si>
  <si>
    <t>Table 1 and Table 4 Column 8</t>
  </si>
  <si>
    <t>Value of Prevented Injury</t>
  </si>
  <si>
    <t>Benefit from Lives Saved</t>
  </si>
  <si>
    <t>Benefit from Prevented Injuries</t>
  </si>
  <si>
    <t>[1]</t>
  </si>
  <si>
    <t>[2]</t>
  </si>
  <si>
    <t>[3]</t>
  </si>
  <si>
    <t>[4]</t>
  </si>
  <si>
    <t>[5]</t>
  </si>
  <si>
    <t>[6]</t>
  </si>
  <si>
    <t>[7]</t>
  </si>
  <si>
    <t>[8]</t>
  </si>
  <si>
    <t>[9]</t>
  </si>
  <si>
    <t>= [1] / 100,000,000 * [2]</t>
  </si>
  <si>
    <t>= [3] * [4]</t>
  </si>
  <si>
    <t>= [7] * [8]</t>
  </si>
  <si>
    <t>= [1] / 100,000,000 * [6]</t>
  </si>
  <si>
    <t>Accidents in US per Annum</t>
  </si>
  <si>
    <t>VMT per Annum</t>
  </si>
  <si>
    <t>Accidents per VMT</t>
  </si>
  <si>
    <t>Reduced Accidents</t>
  </si>
  <si>
    <t>Value from prevented property damage</t>
  </si>
  <si>
    <t>Property Damage Avoided</t>
  </si>
  <si>
    <t>Non-Carbon Emissions Reductions</t>
  </si>
  <si>
    <r>
      <t>Emissions</t>
    </r>
    <r>
      <rPr>
        <b/>
        <vertAlign val="superscript"/>
        <sz val="10"/>
        <color indexed="9"/>
        <rFont val="Arial Narrow"/>
        <family val="2"/>
      </rPr>
      <t>1</t>
    </r>
  </si>
  <si>
    <r>
      <t>Brake Wear - PM</t>
    </r>
    <r>
      <rPr>
        <vertAlign val="subscript"/>
        <sz val="10"/>
        <rFont val="Arial Narrow"/>
        <family val="2"/>
      </rPr>
      <t>10</t>
    </r>
  </si>
  <si>
    <r>
      <t>Tire Wear - PM</t>
    </r>
    <r>
      <rPr>
        <vertAlign val="subscript"/>
        <sz val="10"/>
        <rFont val="Arial Narrow"/>
        <family val="2"/>
      </rPr>
      <t>10</t>
    </r>
  </si>
  <si>
    <r>
      <t>CO</t>
    </r>
    <r>
      <rPr>
        <vertAlign val="subscript"/>
        <sz val="10"/>
        <rFont val="Arial Narrow"/>
        <family val="2"/>
      </rPr>
      <t>2</t>
    </r>
  </si>
  <si>
    <r>
      <t>SO</t>
    </r>
    <r>
      <rPr>
        <vertAlign val="subscript"/>
        <sz val="10"/>
        <rFont val="Arial Narrow"/>
        <family val="2"/>
      </rPr>
      <t>2</t>
    </r>
  </si>
  <si>
    <r>
      <t>NO</t>
    </r>
    <r>
      <rPr>
        <vertAlign val="subscript"/>
        <sz val="10"/>
        <rFont val="Arial Narrow"/>
        <family val="2"/>
      </rPr>
      <t>X</t>
    </r>
  </si>
  <si>
    <r>
      <t>PM</t>
    </r>
    <r>
      <rPr>
        <vertAlign val="subscript"/>
        <sz val="10"/>
        <rFont val="Arial Narrow"/>
        <family val="2"/>
      </rPr>
      <t>10</t>
    </r>
  </si>
  <si>
    <r>
      <t>1</t>
    </r>
    <r>
      <rPr>
        <sz val="10"/>
        <rFont val="Arial Narrow"/>
        <family val="2"/>
      </rPr>
      <t>University of California at Berkley. 2008.  "Environmental Life-cycle Assessment of Passenger Transportation: A Detailed Methodology for Energy, Greenhouse Gas and Criteria Pollutant Inventories of Automobiles, Buses, Light Rail, Heavy Rail and Air v.2."  UC Berkeley, UC Berkeley Center for Future Urban Transport. http://escholarship.org/uc/item/5670921q</t>
    </r>
  </si>
  <si>
    <r>
      <t>2</t>
    </r>
    <r>
      <rPr>
        <sz val="10"/>
        <rFont val="Arial Narrow"/>
        <family val="2"/>
      </rPr>
      <t xml:space="preserve">Nowak, David J.; Crane, Daniel E.; and Stevens, Jack C.  2006.  "Air Pollution Removal by Urban Trees and Shrubs in the United States." </t>
    </r>
    <r>
      <rPr>
        <i/>
        <sz val="10"/>
        <rFont val="Arial Narrow"/>
        <family val="2"/>
      </rPr>
      <t>Urban Forestry and Greening</t>
    </r>
    <r>
      <rPr>
        <sz val="10"/>
        <rFont val="Arial Narrow"/>
        <family val="2"/>
      </rPr>
      <t>, Vol.4: 115-123.</t>
    </r>
  </si>
  <si>
    <t>TIGER BCA Reference Guide</t>
  </si>
  <si>
    <t>g/VMT</t>
  </si>
  <si>
    <t>VMT Reduction</t>
  </si>
  <si>
    <t>Aggregate Value for residents within 0.5 miles</t>
  </si>
  <si>
    <t xml:space="preserve">Reduced Local Traffic </t>
  </si>
  <si>
    <t xml:space="preserve"> </t>
  </si>
  <si>
    <t>Net Present Value</t>
  </si>
  <si>
    <t>Metric</t>
  </si>
  <si>
    <t>This figure is based on a return trip for all estimated new commuters shown on Table 6.2 of the Travel Times Savings Sheet.</t>
  </si>
  <si>
    <t>Gallons of Gasoline per Barrel of Oil</t>
  </si>
  <si>
    <t>Costs per Barrel</t>
  </si>
  <si>
    <t xml:space="preserve"> Project Year</t>
  </si>
  <si>
    <t>Calendar Year</t>
  </si>
  <si>
    <t>CO2 reduced (Metric tons)</t>
  </si>
  <si>
    <t>3% SCC ($2007)</t>
  </si>
  <si>
    <t>Undiscounted CO2 costs @ 3% Avg SCC</t>
  </si>
  <si>
    <t>NPV CO2 costs @ 3% Avg SCC</t>
  </si>
  <si>
    <t>Grams / Metric Ton</t>
  </si>
  <si>
    <t>Net Present Value of CO2 Costs at 3%</t>
  </si>
  <si>
    <t>See 13-Carbon Costs</t>
  </si>
  <si>
    <t>Present Value of Benefit - No Carbon Costs</t>
  </si>
  <si>
    <t>Present Value of Benefit - With Carbon Costs</t>
  </si>
  <si>
    <t>Table 11.3</t>
  </si>
  <si>
    <t>Internal Rate of Return (without Carbon)</t>
  </si>
  <si>
    <t>Annual Value Excludes one-time Real Estate Value Increase</t>
  </si>
  <si>
    <t>See 1-Nominal Adjustment</t>
  </si>
  <si>
    <t>Table 1</t>
  </si>
  <si>
    <t>Table 1 - Nominal Adjustment</t>
  </si>
  <si>
    <t>See Table 2.1 of the Reduced Traffic Sheet.</t>
  </si>
  <si>
    <t>Ibid.</t>
  </si>
  <si>
    <t>Estimate based on Econsult's experience with similar projects.</t>
  </si>
  <si>
    <t>Discount for being farther than 0.25 miles</t>
  </si>
  <si>
    <t>Table 12.1</t>
  </si>
  <si>
    <t xml:space="preserve">Macro Costs </t>
  </si>
  <si>
    <t xml:space="preserve">Security </t>
  </si>
  <si>
    <t xml:space="preserve">Extraction </t>
  </si>
  <si>
    <t>Reduced VMT - Reduced Fuel Consumption ($)</t>
  </si>
  <si>
    <t>Reduced VMT - Reduced Maintenance Costs</t>
  </si>
  <si>
    <t>Reduced VMT - Reduced Oil Imports</t>
  </si>
  <si>
    <t>Note 3</t>
  </si>
  <si>
    <r>
      <rPr>
        <vertAlign val="superscript"/>
        <sz val="10"/>
        <rFont val="Arial Narrow"/>
        <family val="2"/>
      </rPr>
      <t>3</t>
    </r>
    <r>
      <rPr>
        <sz val="10"/>
        <rFont val="Arial Narrow"/>
        <family val="2"/>
      </rPr>
      <t xml:space="preserve"> "Environmental Life-cycle Assessment of Passenger Transportation: A Detailed Methodology for Energy, Greenhouse Gas and Criteria Pollutant Inventories of Automobiles, Buses, Light Rail, Heavy Rail and Air v.2."  UC Berkeley, UC Berkeley Center for Future Urban Transport, 2008. http://escholarship.org/uc/item/5670921q, p.22</t>
    </r>
  </si>
  <si>
    <t>Note 2</t>
  </si>
  <si>
    <t>Nore 4, page 7</t>
  </si>
  <si>
    <t>Note 4, page 7</t>
  </si>
  <si>
    <t>1 - "Transportation Cost and Benefit Analysis II - Resource Consumption External Costs." Victoria Transportation Policy Institute, Victoria, British Columbia Canada.  June 2010.  www.vtpi.org/tca/tca0512.pdf, p. 4</t>
  </si>
  <si>
    <t>Note 1, Page 4</t>
  </si>
  <si>
    <t>Note 1, Page 5</t>
  </si>
  <si>
    <t>Table 3.3 - Calculation of Macro and other costs</t>
  </si>
  <si>
    <t>Government data provided at http://www.eia.doe.gov/dnav/pet/pet_pnp_pct_dc_nus_pct_m.htm</t>
  </si>
  <si>
    <t>Government data provided at http://www.eia.gov/tools/faqs/faq.cfm?id=32&amp;t=6</t>
  </si>
  <si>
    <t>traffic safety facts 2011</t>
  </si>
  <si>
    <t>traffic safety facts</t>
  </si>
  <si>
    <t>Value per accident (Property damage, $2010)</t>
  </si>
  <si>
    <t>3% SCC ($2013)</t>
  </si>
  <si>
    <r>
      <t>Costs per metric ton ($2013)</t>
    </r>
    <r>
      <rPr>
        <b/>
        <vertAlign val="superscript"/>
        <sz val="10"/>
        <color indexed="9"/>
        <rFont val="Arial Narrow"/>
        <family val="2"/>
      </rPr>
      <t>2</t>
    </r>
  </si>
  <si>
    <r>
      <t xml:space="preserve">1. e.g., Leef, George C, </t>
    </r>
    <r>
      <rPr>
        <i/>
        <sz val="10"/>
        <rFont val="Arial Narrow"/>
        <family val="2"/>
      </rPr>
      <t xml:space="preserve">Prevailing Wage Laws: Public Interest or Special Interest Legislation?, </t>
    </r>
    <r>
      <rPr>
        <sz val="10"/>
        <rFont val="Arial Narrow"/>
        <family val="2"/>
      </rPr>
      <t>Cato Journal, Vol. 30, No.1 (Winter 2010), http://www.cato.org/pubs/journal/cj30n1/cj30n1-7.pdf</t>
    </r>
  </si>
  <si>
    <t>USDOT, National Highway Traffic Safer Administration, Traffic Safety Facts, 2011 data (2013 release)</t>
  </si>
  <si>
    <t>USDOT, National Highway Traffic Safety Administration, Traffic Safety Facts, 2011 data (2013 release)</t>
  </si>
  <si>
    <t>GDP conversion from 2007 to 2013</t>
  </si>
  <si>
    <r>
      <t>Average Price of Gas</t>
    </r>
    <r>
      <rPr>
        <b/>
        <vertAlign val="superscript"/>
        <sz val="10"/>
        <color indexed="9"/>
        <rFont val="Arial Narrow"/>
        <family val="2"/>
      </rPr>
      <t>3</t>
    </r>
  </si>
  <si>
    <r>
      <rPr>
        <vertAlign val="superscript"/>
        <sz val="10"/>
        <rFont val="Arial Narrow"/>
        <family val="2"/>
      </rPr>
      <t>2</t>
    </r>
    <r>
      <rPr>
        <sz val="10"/>
        <rFont val="Arial Narrow"/>
        <family val="2"/>
      </rPr>
      <t xml:space="preserve">  "Your Driving Costs: 2013 Edition,"  See 'Sheet 2'</t>
    </r>
  </si>
  <si>
    <r>
      <rPr>
        <vertAlign val="superscript"/>
        <sz val="10"/>
        <rFont val="Arial Narrow"/>
        <family val="2"/>
      </rPr>
      <t>4</t>
    </r>
    <r>
      <rPr>
        <sz val="10"/>
        <rFont val="Arial Narrow"/>
        <family val="2"/>
      </rPr>
      <t xml:space="preserve">  "Your Driving Costs: 2013 Edition,"  American Automobile Association, 2013, Page 7</t>
    </r>
  </si>
  <si>
    <t>Month</t>
  </si>
  <si>
    <t>Construction Costs</t>
  </si>
  <si>
    <t>Construction Phase 1</t>
  </si>
  <si>
    <t>Construction Phase 2</t>
  </si>
  <si>
    <t>Total Expended</t>
  </si>
  <si>
    <t>Total Design not expended</t>
  </si>
  <si>
    <t>Expended</t>
  </si>
  <si>
    <t>Design</t>
  </si>
  <si>
    <t>Begins</t>
  </si>
  <si>
    <t>Ends</t>
  </si>
  <si>
    <t>Phase 1</t>
  </si>
  <si>
    <t>Phase 2</t>
  </si>
  <si>
    <t>Duration</t>
  </si>
  <si>
    <t>Expenditure</t>
  </si>
  <si>
    <t>Discount</t>
  </si>
  <si>
    <t>Beginning</t>
  </si>
  <si>
    <t>Ending</t>
  </si>
  <si>
    <t>Cost Breakdown</t>
  </si>
  <si>
    <t>Source:  Ardmore Transportation Center, Baseline Project Budget, 3/28/14</t>
  </si>
  <si>
    <t>Months</t>
  </si>
  <si>
    <t>Quarter</t>
  </si>
  <si>
    <t>Deflator</t>
  </si>
  <si>
    <t>https://research.stlouisfed.org/fred2/data/GDPDEF.txt</t>
  </si>
  <si>
    <t>CONVERTING TO $2014</t>
  </si>
  <si>
    <t>$2010 Dollars in $2014 Dollars</t>
  </si>
  <si>
    <t>Value of Statistical Life ($2013)</t>
  </si>
  <si>
    <t>Conversion from $2013 to $2014</t>
  </si>
  <si>
    <t>Value of Statistical Like ($2014)</t>
  </si>
  <si>
    <t>Unit Value ($2014)</t>
  </si>
  <si>
    <t>Check</t>
  </si>
  <si>
    <t>Conversion from $2010 to $2014</t>
  </si>
  <si>
    <t>Value per accident (Property damage, $2014)</t>
  </si>
  <si>
    <r>
      <t>Costs per metric ton ($2010)</t>
    </r>
    <r>
      <rPr>
        <b/>
        <vertAlign val="superscript"/>
        <sz val="10"/>
        <color indexed="9"/>
        <rFont val="Arial Narrow"/>
        <family val="2"/>
      </rPr>
      <t>2</t>
    </r>
  </si>
  <si>
    <t>Conversion Factor to $2014</t>
  </si>
  <si>
    <t>2018 Value</t>
  </si>
  <si>
    <r>
      <t>3</t>
    </r>
    <r>
      <rPr>
        <sz val="10"/>
        <rFont val="Arial Narrow"/>
        <family val="2"/>
      </rPr>
      <t xml:space="preserve"> Data provided by the US Energy Information Administration, April 10, 2014; http://www.eia.gov/dnav/pet/pet_pri_gnd_dcus_nus_w.htm</t>
    </r>
  </si>
  <si>
    <t>Operating Cost Saving</t>
  </si>
  <si>
    <t>Peak</t>
  </si>
  <si>
    <t>Off-Peak</t>
  </si>
  <si>
    <t>Waterbury Station Usage - Weekday Inbound Station Boardings</t>
  </si>
  <si>
    <t>Waterbury Station Usage - Weekend Inbound Station Boardings</t>
  </si>
  <si>
    <t>Sunday</t>
  </si>
  <si>
    <t>Total Weekend</t>
  </si>
  <si>
    <t>New Daily Riders</t>
  </si>
  <si>
    <t>New Annual Riders</t>
  </si>
  <si>
    <t>Total Car Trips Reduced Per Year</t>
  </si>
  <si>
    <t>Table 2.1 - VMT Reduction Due to Reduced due to Increased Station Usage</t>
  </si>
  <si>
    <t>Less than $10,000</t>
  </si>
  <si>
    <t>$10,000 to $14,999</t>
  </si>
  <si>
    <t>$15,000 to $19,999</t>
  </si>
  <si>
    <t>$20,000 to $24,999</t>
  </si>
  <si>
    <t>$25,000 to $29,999</t>
  </si>
  <si>
    <t>$30,000 to $34,999</t>
  </si>
  <si>
    <t>$35,000 to $39,999</t>
  </si>
  <si>
    <t>$40,000 to $49,999</t>
  </si>
  <si>
    <t>$50,000 to $59,999</t>
  </si>
  <si>
    <t>$60,000 to $69,999</t>
  </si>
  <si>
    <t>$70,000 to $79,999</t>
  </si>
  <si>
    <t>$80,000 to $89,999</t>
  </si>
  <si>
    <t>$90,000 to $99,999</t>
  </si>
  <si>
    <t>$100,000 to $124,999</t>
  </si>
  <si>
    <t>$125,000 to $149,999</t>
  </si>
  <si>
    <t>$150,000 to $174,999</t>
  </si>
  <si>
    <t>$175,000 to $199,999</t>
  </si>
  <si>
    <t>$200,000 to $249,999</t>
  </si>
  <si>
    <t>$250,000 to $299,999</t>
  </si>
  <si>
    <t>$300,000 to $399,999</t>
  </si>
  <si>
    <t>$400,000 to $499,999</t>
  </si>
  <si>
    <t>$500,000 to $749,999</t>
  </si>
  <si>
    <t>$750,000 to $999,999</t>
  </si>
  <si>
    <t>$1,000,000 or more</t>
  </si>
  <si>
    <t>Value range</t>
  </si>
  <si>
    <t>Number of Houses</t>
  </si>
  <si>
    <t>Midpoint Value</t>
  </si>
  <si>
    <t>Aggregate Value</t>
  </si>
  <si>
    <t>Market Value of residential real estate within .25 miles of a trail entrance</t>
  </si>
  <si>
    <t>Market Value of Residential real estate within .5 miles of trail entrance</t>
  </si>
  <si>
    <r>
      <t>Percent Increase in Property Values due to improved train station</t>
    </r>
    <r>
      <rPr>
        <vertAlign val="superscript"/>
        <sz val="10"/>
        <rFont val="Arial Narrow"/>
        <family val="2"/>
      </rPr>
      <t>1</t>
    </r>
  </si>
  <si>
    <t>Market Value of real estate between 0.25 and 0.5 miles from a trail entrance</t>
  </si>
  <si>
    <t>See footnote 1.</t>
  </si>
  <si>
    <r>
      <t>1</t>
    </r>
    <r>
      <rPr>
        <sz val="10"/>
        <rFont val="Arial Narrow"/>
        <family val="2"/>
      </rPr>
      <t xml:space="preserve"> Center for Urban Policy and the Environment. 2003. "Public Choices and Property Values."  Center for Urban Policy and the Environment, Indiana University School of Public and Environmental Affairs: Indianapolis, IN.  December 2003. http://atfiles.org/files/pdf/lindseypropvalues.pdf</t>
    </r>
  </si>
  <si>
    <t>American Community Survey Data from ESRI Business Analyst (See Table 12.3) - Downloaded April 15, 2014</t>
  </si>
  <si>
    <t>American Community Survey Data from ESRI Business Analyst (See Table 12.4) - Downloaded April 15, 2014</t>
  </si>
  <si>
    <t>Aggregate Value for residents between 0.5 and 1 mile from a trail entrance</t>
  </si>
  <si>
    <t>Existence value of the trail for Waterbury residents more than a mile from a trail entrance</t>
  </si>
  <si>
    <t>Aggregate existance value for Waterbury residents more than a mile from a trail entrance</t>
  </si>
  <si>
    <t>Total Existence Value for Waterbury Residents</t>
  </si>
  <si>
    <t>X</t>
  </si>
  <si>
    <r>
      <t>Descriptions</t>
    </r>
    <r>
      <rPr>
        <b/>
        <vertAlign val="superscript"/>
        <sz val="12"/>
        <color indexed="9"/>
        <rFont val="Arial Narrow"/>
        <family val="2"/>
      </rPr>
      <t>5</t>
    </r>
  </si>
  <si>
    <t>Car Accident Reduction (Property Damage Only)</t>
  </si>
  <si>
    <t>Car Accident (Injury Accident)</t>
  </si>
  <si>
    <t>Car Accident (Fatality Accident)</t>
  </si>
  <si>
    <t>Bicycle Accident (Injury Accident)</t>
  </si>
  <si>
    <t>Pedestrian Accident (Injury Accident)</t>
  </si>
  <si>
    <t>3 - Recreational Benefits</t>
  </si>
  <si>
    <t>Table 3.1 Assumptions</t>
  </si>
  <si>
    <t>Table 3.2 Recreational Benefits</t>
  </si>
  <si>
    <t>Activity</t>
  </si>
  <si>
    <t>Total Activity Days</t>
  </si>
  <si>
    <t>Total Willingness-to-Pay</t>
  </si>
  <si>
    <t>Walking</t>
  </si>
  <si>
    <t>Biking</t>
  </si>
  <si>
    <t>4 - Increased Exercise Benefits</t>
  </si>
  <si>
    <t>Table 4.1 Assumptions</t>
  </si>
  <si>
    <t>Total new Exercisers per Day</t>
  </si>
  <si>
    <t>Total New Exercisers</t>
  </si>
  <si>
    <t>Table 4.2 Increased Exercise Benefits</t>
  </si>
  <si>
    <t>Costs Per Person Per Year</t>
  </si>
  <si>
    <t>Total Costs Savings</t>
  </si>
  <si>
    <t>Value Per Accident</t>
  </si>
  <si>
    <t>Total Benefit</t>
  </si>
  <si>
    <t>Table 11.5</t>
  </si>
  <si>
    <t>Recreational Benefits</t>
  </si>
  <si>
    <t>Increased Exercise Benefits</t>
  </si>
  <si>
    <t>Stormwater Management</t>
  </si>
  <si>
    <t>Kayaking/Canoeing</t>
  </si>
  <si>
    <t>Fishing</t>
  </si>
  <si>
    <t>Number of Individuals</t>
  </si>
  <si>
    <t>Participated in Hiking, Walking, Running</t>
  </si>
  <si>
    <t>Participated in Trail Biking</t>
  </si>
  <si>
    <t>Participated in Canoeing, Kyaking, Tubing</t>
  </si>
  <si>
    <t>Participated in Freshwater Fishing</t>
  </si>
  <si>
    <t>New Participants</t>
  </si>
  <si>
    <t>Increase in Walking/Running</t>
  </si>
  <si>
    <t>Increase in Biking</t>
  </si>
  <si>
    <t>Increase in Kayaking/Canoeing</t>
  </si>
  <si>
    <t>Increase in Freshwater Fishing</t>
  </si>
  <si>
    <t>Amount Attributable to Exercise on Trails</t>
  </si>
  <si>
    <t>4 - Recreational Benefits</t>
  </si>
  <si>
    <t>5 - Increased Exercise Benefits</t>
  </si>
  <si>
    <t>6 - Stormwater Benefits</t>
  </si>
  <si>
    <t>6 - Storm-water Management Benefits</t>
  </si>
  <si>
    <t>Table 6.1 Storm-water Management Benefits</t>
  </si>
  <si>
    <t>7 - Imp Exp and Existence Value</t>
  </si>
  <si>
    <t>3 - Reduced Oil Imports</t>
  </si>
  <si>
    <t>2 - Reduced Local Traffic</t>
  </si>
  <si>
    <t>8 - Car Air Pollution Benefit</t>
  </si>
  <si>
    <t>9 - Safety Benefits</t>
  </si>
  <si>
    <t>10 - Real Estate Values</t>
  </si>
  <si>
    <t>2004 Value</t>
  </si>
  <si>
    <t>75 % of the Road travel distance from Waterbury to New York City</t>
  </si>
  <si>
    <t>Measure</t>
  </si>
  <si>
    <t>Unit</t>
  </si>
  <si>
    <t>Sq Ft</t>
  </si>
  <si>
    <t>Feet</t>
  </si>
  <si>
    <t>Annual Rainwater of Project (Volume)</t>
  </si>
  <si>
    <t>Gallons</t>
  </si>
  <si>
    <t>Annual Runoff Estimate</t>
  </si>
  <si>
    <t>Estimated Savings</t>
  </si>
  <si>
    <t>Greenway</t>
  </si>
  <si>
    <t>Freight Street</t>
  </si>
  <si>
    <t>Jackson Street</t>
  </si>
  <si>
    <t>Library Crossing</t>
  </si>
  <si>
    <t>Meadow Street</t>
  </si>
  <si>
    <t>Final Design</t>
  </si>
  <si>
    <t>Right of Way</t>
  </si>
  <si>
    <t>Adminstration</t>
  </si>
  <si>
    <t>REI</t>
  </si>
  <si>
    <t>Actual Costs</t>
  </si>
  <si>
    <t>Modelable Costs</t>
  </si>
  <si>
    <t>Capital Costs</t>
  </si>
  <si>
    <t>Operating Costs</t>
  </si>
  <si>
    <t>Assumed to be 1% of the construction costs.</t>
  </si>
  <si>
    <t>Quality of Life</t>
  </si>
  <si>
    <t xml:space="preserve">Annual O&amp;M Costs </t>
  </si>
  <si>
    <t>3. - Quality of Life</t>
  </si>
  <si>
    <t>Number of Weekdays per year</t>
  </si>
  <si>
    <t>Number of Weekend Days per year</t>
  </si>
  <si>
    <t>Percent Increase due to improvements</t>
  </si>
  <si>
    <r>
      <t>Willingness-to-pay Value for Walking</t>
    </r>
    <r>
      <rPr>
        <vertAlign val="superscript"/>
        <sz val="10"/>
        <rFont val="Arial Narrow"/>
        <family val="2"/>
      </rPr>
      <t>1</t>
    </r>
  </si>
  <si>
    <r>
      <t>Willingness-to-pay Value for Biking</t>
    </r>
    <r>
      <rPr>
        <vertAlign val="superscript"/>
        <sz val="10"/>
        <rFont val="Arial Narrow"/>
        <family val="2"/>
      </rPr>
      <t>1</t>
    </r>
  </si>
  <si>
    <r>
      <t>Willingness-to-pay Value for Kayaking/Canoeing</t>
    </r>
    <r>
      <rPr>
        <vertAlign val="superscript"/>
        <sz val="10"/>
        <rFont val="Arial Narrow"/>
        <family val="2"/>
      </rPr>
      <t>1</t>
    </r>
  </si>
  <si>
    <r>
      <t>Willingness-to-pay Value for Fishing</t>
    </r>
    <r>
      <rPr>
        <vertAlign val="superscript"/>
        <sz val="10"/>
        <rFont val="Arial Narrow"/>
        <family val="2"/>
      </rPr>
      <t>1</t>
    </r>
  </si>
  <si>
    <r>
      <t>Populatuion between the ages of 15-74 within .5 miles of a trail entrances</t>
    </r>
    <r>
      <rPr>
        <vertAlign val="superscript"/>
        <sz val="12"/>
        <rFont val="Arial Narrow"/>
        <family val="2"/>
      </rPr>
      <t>2</t>
    </r>
  </si>
  <si>
    <t>Number of Participants</t>
  </si>
  <si>
    <r>
      <t>Average Participation Rate per week</t>
    </r>
    <r>
      <rPr>
        <b/>
        <vertAlign val="superscript"/>
        <sz val="10"/>
        <color indexed="9"/>
        <rFont val="Arial Narrow"/>
        <family val="2"/>
      </rPr>
      <t>4</t>
    </r>
  </si>
  <si>
    <r>
      <t>% of Activity Days that Are New</t>
    </r>
    <r>
      <rPr>
        <b/>
        <vertAlign val="superscript"/>
        <sz val="10"/>
        <color indexed="9"/>
        <rFont val="Arial Narrow"/>
        <family val="2"/>
      </rPr>
      <t>5</t>
    </r>
    <r>
      <rPr>
        <b/>
        <sz val="10"/>
        <color indexed="9"/>
        <rFont val="Arial Narrow"/>
        <family val="2"/>
      </rPr>
      <t xml:space="preserve"> </t>
    </r>
  </si>
  <si>
    <r>
      <rPr>
        <vertAlign val="superscript"/>
        <sz val="10"/>
        <rFont val="Arial Narrow"/>
        <family val="2"/>
      </rPr>
      <t xml:space="preserve">4 </t>
    </r>
    <r>
      <rPr>
        <sz val="10"/>
        <rFont val="Arial Narrow"/>
        <family val="2"/>
      </rPr>
      <t>Conservative estimate based on prior experience.</t>
    </r>
  </si>
  <si>
    <t>2014 Value</t>
  </si>
  <si>
    <t>Willingness-to-pay Value for Walking/Jogging</t>
  </si>
  <si>
    <t>Willingness-to-pay Value forBicycling</t>
  </si>
  <si>
    <r>
      <rPr>
        <vertAlign val="superscript"/>
        <sz val="10"/>
        <rFont val="Arial Narrow"/>
        <family val="2"/>
      </rPr>
      <t>5</t>
    </r>
    <r>
      <rPr>
        <sz val="10"/>
        <rFont val="Arial Narrow"/>
        <family val="2"/>
      </rPr>
      <t xml:space="preserve"> Conservative estimate based on prior experience</t>
    </r>
  </si>
  <si>
    <t>Table 3.3 Participation Rates</t>
  </si>
  <si>
    <t>Table 3.4 Unit Day Values</t>
  </si>
  <si>
    <t>Willingness-to-pay Value for Kayaking/Canoeing</t>
  </si>
  <si>
    <t>Willingness-to-pay Value for Fishing</t>
  </si>
  <si>
    <r>
      <t>Activity</t>
    </r>
    <r>
      <rPr>
        <b/>
        <vertAlign val="superscript"/>
        <sz val="10"/>
        <color indexed="9"/>
        <rFont val="Arial Narrow"/>
        <family val="2"/>
      </rPr>
      <t>6</t>
    </r>
  </si>
  <si>
    <r>
      <rPr>
        <vertAlign val="superscript"/>
        <sz val="10"/>
        <rFont val="Arial Narrow"/>
        <family val="2"/>
      </rPr>
      <t>6</t>
    </r>
    <r>
      <rPr>
        <sz val="10"/>
        <rFont val="Arial Narrow"/>
        <family val="2"/>
      </rPr>
      <t xml:space="preserve"> US Army Corp of Engineers.  Principles and Guidelines for Water Resource Projects, Appendix 3 to Section Vlll, Pages 83-85.  ftp://ftp-fc.sc.egov.usda.gov/Economics/priceindexes/Data/Principles%20and%20Guidelines,%20local%20site.pdf</t>
    </r>
  </si>
  <si>
    <r>
      <t>Nominal Adjustment</t>
    </r>
    <r>
      <rPr>
        <b/>
        <vertAlign val="superscript"/>
        <sz val="10"/>
        <color indexed="9"/>
        <rFont val="Arial Narrow"/>
        <family val="2"/>
      </rPr>
      <t>7</t>
    </r>
  </si>
  <si>
    <r>
      <rPr>
        <vertAlign val="superscript"/>
        <sz val="10"/>
        <rFont val="Arial Narrow"/>
        <family val="2"/>
      </rPr>
      <t>7</t>
    </r>
    <r>
      <rPr>
        <sz val="10"/>
        <rFont val="Arial Narrow"/>
        <family val="2"/>
      </rPr>
      <t>See 1-Nominal Adjustment</t>
    </r>
  </si>
  <si>
    <r>
      <t>1</t>
    </r>
    <r>
      <rPr>
        <sz val="10"/>
        <rFont val="Arial Narrow"/>
        <family val="2"/>
      </rPr>
      <t>See Table 3.4</t>
    </r>
  </si>
  <si>
    <t>Net-new Days per Year</t>
  </si>
  <si>
    <r>
      <rPr>
        <vertAlign val="superscript"/>
        <sz val="10"/>
        <rFont val="Arial Narrow"/>
        <family val="2"/>
      </rPr>
      <t xml:space="preserve">3 </t>
    </r>
    <r>
      <rPr>
        <sz val="10"/>
        <rFont val="Arial Narrow"/>
        <family val="2"/>
      </rPr>
      <t xml:space="preserve"> http://www.ct.gov/deep/lib/deep/outdoor_recreation/scorp/scorp_2005_webversion.pdf</t>
    </r>
  </si>
  <si>
    <r>
      <t>Total New Recreartional Runners/Walkers</t>
    </r>
    <r>
      <rPr>
        <vertAlign val="superscript"/>
        <sz val="10"/>
        <rFont val="Arial Narrow"/>
        <family val="2"/>
      </rPr>
      <t>1</t>
    </r>
  </si>
  <si>
    <r>
      <t>Total New Recreartional Bikers</t>
    </r>
    <r>
      <rPr>
        <vertAlign val="superscript"/>
        <sz val="10"/>
        <rFont val="Arial Narrow"/>
        <family val="2"/>
      </rPr>
      <t>1</t>
    </r>
    <r>
      <rPr>
        <sz val="10"/>
        <rFont val="Arial Narrow"/>
        <family val="2"/>
      </rPr>
      <t xml:space="preserve"> </t>
    </r>
  </si>
  <si>
    <r>
      <t>Percent that Exercise Enough to Generate Benefits</t>
    </r>
    <r>
      <rPr>
        <vertAlign val="superscript"/>
        <sz val="10"/>
        <rFont val="Arial Narrow"/>
        <family val="2"/>
      </rPr>
      <t>2</t>
    </r>
  </si>
  <si>
    <r>
      <t>Direct Medical Cost Savings</t>
    </r>
    <r>
      <rPr>
        <vertAlign val="superscript"/>
        <sz val="10"/>
        <rFont val="Arial Narrow"/>
        <family val="2"/>
      </rPr>
      <t>2</t>
    </r>
  </si>
  <si>
    <r>
      <t>Indirect Medical Cost Savings</t>
    </r>
    <r>
      <rPr>
        <vertAlign val="superscript"/>
        <sz val="10"/>
        <rFont val="Arial Narrow"/>
        <family val="2"/>
      </rPr>
      <t>3</t>
    </r>
  </si>
  <si>
    <r>
      <t>Direct Worker Compensation Cost Savings</t>
    </r>
    <r>
      <rPr>
        <vertAlign val="superscript"/>
        <sz val="10"/>
        <rFont val="Arial Narrow"/>
        <family val="2"/>
      </rPr>
      <t>4</t>
    </r>
  </si>
  <si>
    <r>
      <t>Indirect Worker Compensation Cost Savings</t>
    </r>
    <r>
      <rPr>
        <vertAlign val="superscript"/>
        <sz val="10"/>
        <rFont val="Arial Narrow"/>
        <family val="2"/>
      </rPr>
      <t>3</t>
    </r>
  </si>
  <si>
    <r>
      <t>Lost Productivity Cost Savings</t>
    </r>
    <r>
      <rPr>
        <vertAlign val="superscript"/>
        <sz val="10"/>
        <rFont val="Arial Narrow"/>
        <family val="2"/>
      </rPr>
      <t>4</t>
    </r>
  </si>
  <si>
    <r>
      <t>1</t>
    </r>
    <r>
      <rPr>
        <sz val="10"/>
        <rFont val="Arial Narrow"/>
        <family val="2"/>
      </rPr>
      <t xml:space="preserve"> Assumes increased convenience / improved access to trails induces exercise by people not previously exercising enough to generate health benefits</t>
    </r>
  </si>
  <si>
    <r>
      <t xml:space="preserve">2  </t>
    </r>
    <r>
      <rPr>
        <sz val="10"/>
        <rFont val="Arial Narrow"/>
        <family val="2"/>
      </rPr>
      <t>Pratt, M.; Macera, C. A.; and Wang, G.  2000.  “Higher Direct Medical Costs Associated with Physical Inactivity.  The Physician and Sportsmedicine.  Vol. 28m No. 10: 63-70.</t>
    </r>
  </si>
  <si>
    <r>
      <t>3</t>
    </r>
    <r>
      <rPr>
        <sz val="10"/>
        <rFont val="Arial Narrow"/>
        <family val="2"/>
      </rPr>
      <t xml:space="preserve"> Chenoweth, D.  2005.  The Economic Costs of Physical Inactivity, Obesity, and Overweight in California Adults: Health Care, Workers’ Compensation, and Lost Productivity.  California Department of Health Services Public Health Institute, Sacramento, CA.  </t>
    </r>
  </si>
  <si>
    <r>
      <t>4</t>
    </r>
    <r>
      <rPr>
        <sz val="10"/>
        <rFont val="Arial Narrow"/>
        <family val="2"/>
      </rPr>
      <t>Chenoweth, D. and Boritz, W. M.  2005.  Physical Inactivity Cost Calculator: How the Physical Inactivity Cost Calculator was Developed.  College of Health and Human Performance, Department of Health Education and Promotion.  East Carolina University: Greenville, North Carolina.  http://www.ecu.edu/picostcalc/pdf_file/Methods.pdf</t>
    </r>
  </si>
  <si>
    <r>
      <t>Estimated Surface Area of Project</t>
    </r>
    <r>
      <rPr>
        <vertAlign val="superscript"/>
        <sz val="10"/>
        <rFont val="Arial Narrow"/>
        <family val="2"/>
      </rPr>
      <t>1</t>
    </r>
  </si>
  <si>
    <r>
      <t>Annual Rainfall of Region</t>
    </r>
    <r>
      <rPr>
        <vertAlign val="superscript"/>
        <sz val="10"/>
        <rFont val="Arial Narrow"/>
        <family val="2"/>
      </rPr>
      <t>2</t>
    </r>
  </si>
  <si>
    <r>
      <t>Runoff Coefficient</t>
    </r>
    <r>
      <rPr>
        <vertAlign val="superscript"/>
        <sz val="10"/>
        <rFont val="Arial Narrow"/>
        <family val="2"/>
      </rPr>
      <t>3</t>
    </r>
  </si>
  <si>
    <r>
      <t>Treatment Cost per Gallon</t>
    </r>
    <r>
      <rPr>
        <vertAlign val="superscript"/>
        <sz val="10"/>
        <rFont val="Arial Narrow"/>
        <family val="2"/>
      </rPr>
      <t>4</t>
    </r>
  </si>
  <si>
    <r>
      <rPr>
        <vertAlign val="superscript"/>
        <sz val="10"/>
        <rFont val="Arial Narrow"/>
        <family val="2"/>
      </rPr>
      <t>1</t>
    </r>
    <r>
      <rPr>
        <sz val="10"/>
        <rFont val="Arial Narrow"/>
        <family val="2"/>
      </rPr>
      <t xml:space="preserve"> Estimated based on project description</t>
    </r>
  </si>
  <si>
    <r>
      <rPr>
        <vertAlign val="superscript"/>
        <sz val="10"/>
        <rFont val="Arial Narrow"/>
        <family val="2"/>
      </rPr>
      <t>3</t>
    </r>
    <r>
      <rPr>
        <sz val="10"/>
        <rFont val="Arial Narrow"/>
        <family val="2"/>
      </rPr>
      <t xml:space="preserve"> FHWA - Asphalt Street - Lowend of Range (0.70 - 0.95): http://www.fhwa.dot.gov/engineering/hydraulics/pubs/08090/appb.cfm</t>
    </r>
  </si>
  <si>
    <r>
      <rPr>
        <vertAlign val="superscript"/>
        <sz val="10"/>
        <rFont val="Arial Narrow"/>
        <family val="2"/>
      </rPr>
      <t>4</t>
    </r>
    <r>
      <rPr>
        <sz val="10"/>
        <rFont val="Arial Narrow"/>
        <family val="2"/>
      </rPr>
      <t xml:space="preserve"> Conservative estimate based on prior experience</t>
    </r>
  </si>
  <si>
    <r>
      <rPr>
        <vertAlign val="superscript"/>
        <sz val="10"/>
        <rFont val="Arial Narrow"/>
        <family val="2"/>
      </rPr>
      <t xml:space="preserve">2 </t>
    </r>
    <r>
      <rPr>
        <sz val="10"/>
        <rFont val="Arial Narrow"/>
        <family val="2"/>
      </rPr>
      <t>http://www.weather.com/weather/wxclimatology/monthly/graph/06705</t>
    </r>
  </si>
  <si>
    <r>
      <t>Number of residents that live within 0.5 miles of a trail entrance</t>
    </r>
    <r>
      <rPr>
        <vertAlign val="superscript"/>
        <sz val="10"/>
        <rFont val="Arial Narrow"/>
        <family val="2"/>
      </rPr>
      <t>1</t>
    </r>
  </si>
  <si>
    <r>
      <t>Number of residents that live within 1.0 miles of a trail entrance</t>
    </r>
    <r>
      <rPr>
        <vertAlign val="superscript"/>
        <sz val="10"/>
        <rFont val="Arial Narrow"/>
        <family val="2"/>
      </rPr>
      <t>1</t>
    </r>
  </si>
  <si>
    <r>
      <t>Number of Residents that live between 0.5 and 1 mile from a trail entrance</t>
    </r>
    <r>
      <rPr>
        <vertAlign val="superscript"/>
        <sz val="10"/>
        <rFont val="Arial Narrow"/>
        <family val="2"/>
      </rPr>
      <t>1</t>
    </r>
  </si>
  <si>
    <r>
      <rPr>
        <vertAlign val="superscript"/>
        <sz val="10"/>
        <rFont val="Arial Narrow"/>
        <family val="2"/>
      </rPr>
      <t>1</t>
    </r>
    <r>
      <rPr>
        <sz val="10"/>
        <rFont val="Arial Narrow"/>
        <family val="2"/>
      </rPr>
      <t xml:space="preserve"> ESRI Business Analyst Online, www.bao.esri.com download April 15, 2014</t>
    </r>
  </si>
  <si>
    <t>Number of Waterbury residents that live more than a mile from a Tral entrance</t>
  </si>
  <si>
    <r>
      <t>Number of Waterbury Residents</t>
    </r>
    <r>
      <rPr>
        <vertAlign val="superscript"/>
        <sz val="10"/>
        <rFont val="Arial Narrow"/>
        <family val="2"/>
      </rPr>
      <t>1</t>
    </r>
  </si>
  <si>
    <r>
      <t>Number of residents that live within 1.0 of a trail entrances</t>
    </r>
    <r>
      <rPr>
        <vertAlign val="superscript"/>
        <sz val="10"/>
        <rFont val="Arial Narrow"/>
        <family val="2"/>
      </rPr>
      <t>1</t>
    </r>
  </si>
  <si>
    <r>
      <rPr>
        <vertAlign val="superscript"/>
        <sz val="10"/>
        <rFont val="Arial Narrow"/>
        <family val="2"/>
      </rPr>
      <t>2</t>
    </r>
    <r>
      <rPr>
        <sz val="10"/>
        <rFont val="Arial Narrow"/>
        <family val="2"/>
      </rPr>
      <t xml:space="preserve"> Conservative estimate based on prior experience</t>
    </r>
  </si>
  <si>
    <r>
      <t>Value of the improved experience for residents that live within 0.5 miles of a trail entrance (in property value impacts)</t>
    </r>
    <r>
      <rPr>
        <vertAlign val="superscript"/>
        <sz val="10"/>
        <rFont val="Arial Narrow"/>
        <family val="2"/>
      </rPr>
      <t>2</t>
    </r>
  </si>
  <si>
    <r>
      <rPr>
        <vertAlign val="superscript"/>
        <sz val="10"/>
        <rFont val="Arial Narrow"/>
        <family val="2"/>
      </rPr>
      <t>2</t>
    </r>
    <r>
      <rPr>
        <sz val="10"/>
        <rFont val="Arial Narrow"/>
        <family val="2"/>
      </rPr>
      <t xml:space="preserve"> Assumed to be 0 so it is not double counted with Property Value Benefits (see Tab 10)</t>
    </r>
  </si>
  <si>
    <r>
      <t>Value of the improved experience for residents that live between 0.5 and 1 miles of a trail entrance</t>
    </r>
    <r>
      <rPr>
        <vertAlign val="superscript"/>
        <sz val="10"/>
        <rFont val="Arial Narrow"/>
        <family val="2"/>
      </rPr>
      <t>3</t>
    </r>
  </si>
  <si>
    <r>
      <t>Discount for being more than 1 mile from a trail entrance</t>
    </r>
    <r>
      <rPr>
        <vertAlign val="superscript"/>
        <sz val="10"/>
        <rFont val="Arial Narrow"/>
        <family val="2"/>
      </rPr>
      <t>3</t>
    </r>
  </si>
  <si>
    <t>7 - Improved Experience and Existence Value</t>
  </si>
  <si>
    <t>Table 7.1 -Existence Value of nearby Residents (within 1 mile)</t>
  </si>
  <si>
    <t>Table 7.2 - Existence Value for the Remaining Waterbury Residents</t>
  </si>
  <si>
    <t>8 - Air Pollution Reduction</t>
  </si>
  <si>
    <t>Table 8.1 - Air Pollution Reduction (tons)</t>
  </si>
  <si>
    <t>Table 8.2 - Air Pollution Reduction Benefits ($)</t>
  </si>
  <si>
    <t>Table 9.1 - Decrease in Motor Vehicle Deaths and Injuries</t>
  </si>
  <si>
    <t>Table 9.2 Annual Decrease in Accident Reductions Due to Road Improvements</t>
  </si>
  <si>
    <t>Table 9.5 - 2012 Value of Statistical Life</t>
  </si>
  <si>
    <t>Table 9.4 - Property damage calculation</t>
  </si>
  <si>
    <t>Table 9.3 - Expected Value of Non Fatal Injury</t>
  </si>
  <si>
    <t>10 - Real Estate Value Impacts</t>
  </si>
  <si>
    <r>
      <t>Table 12.3 House value within a quarter mile of a trail entrance</t>
    </r>
    <r>
      <rPr>
        <b/>
        <vertAlign val="superscript"/>
        <sz val="12"/>
        <rFont val="Arial Narrow"/>
        <family val="2"/>
      </rPr>
      <t>2</t>
    </r>
  </si>
  <si>
    <r>
      <t>Table 12.4 House value within a half mile of a trail entrance</t>
    </r>
    <r>
      <rPr>
        <b/>
        <vertAlign val="superscript"/>
        <sz val="12"/>
        <rFont val="Arial Narrow"/>
        <family val="2"/>
      </rPr>
      <t>2</t>
    </r>
  </si>
  <si>
    <r>
      <rPr>
        <vertAlign val="superscript"/>
        <sz val="10"/>
        <rFont val="Arial Narrow"/>
        <family val="2"/>
      </rPr>
      <t>2</t>
    </r>
    <r>
      <rPr>
        <sz val="10"/>
        <rFont val="Arial Narrow"/>
        <family val="2"/>
      </rPr>
      <t xml:space="preserve"> ESRI Business Analyst Online, www.bao.esri.com download April 15, 2014</t>
    </r>
  </si>
  <si>
    <r>
      <t>Table 2.4 - Waterbury Weekly AM Boardings</t>
    </r>
    <r>
      <rPr>
        <b/>
        <vertAlign val="superscript"/>
        <sz val="11"/>
        <rFont val="Arial Narrow"/>
        <family val="2"/>
      </rPr>
      <t>5</t>
    </r>
  </si>
  <si>
    <r>
      <t>Table 2.5 - Waterbury Weekend AM Boardings</t>
    </r>
    <r>
      <rPr>
        <b/>
        <vertAlign val="superscript"/>
        <sz val="11"/>
        <rFont val="Arial Narrow"/>
        <family val="2"/>
      </rPr>
      <t>5</t>
    </r>
  </si>
  <si>
    <r>
      <rPr>
        <vertAlign val="superscript"/>
        <sz val="10"/>
        <rFont val="Arial Narrow"/>
        <family val="2"/>
      </rPr>
      <t>5</t>
    </r>
    <r>
      <rPr>
        <sz val="10"/>
        <rFont val="Arial Narrow"/>
        <family val="2"/>
      </rPr>
      <t xml:space="preserve"> http://pedestrianobservations.files.wordpress.com/2011/05/mnrr_2007_ridership.pdf</t>
    </r>
  </si>
  <si>
    <r>
      <rPr>
        <vertAlign val="superscript"/>
        <sz val="10"/>
        <rFont val="Arial Narrow"/>
        <family val="2"/>
      </rPr>
      <t xml:space="preserve">2 </t>
    </r>
    <r>
      <rPr>
        <sz val="10"/>
        <rFont val="Arial Narrow"/>
        <family val="2"/>
      </rPr>
      <t>ESRI Business Analyst Online, www.bao.esri.com download April 15, 2014</t>
    </r>
  </si>
  <si>
    <r>
      <t>Populatuion between the ages of 15-74 within .5 miles of a trail entrances</t>
    </r>
    <r>
      <rPr>
        <vertAlign val="superscript"/>
        <sz val="10"/>
        <rFont val="Arial Narrow"/>
        <family val="2"/>
      </rPr>
      <t>5</t>
    </r>
  </si>
  <si>
    <r>
      <t>Percent that Participate in the Activity</t>
    </r>
    <r>
      <rPr>
        <b/>
        <vertAlign val="superscript"/>
        <sz val="10"/>
        <color indexed="9"/>
        <rFont val="Arial Narrow"/>
        <family val="2"/>
      </rPr>
      <t>3</t>
    </r>
  </si>
  <si>
    <r>
      <t>Percent that Participate in the Activity</t>
    </r>
    <r>
      <rPr>
        <b/>
        <vertAlign val="superscript"/>
        <sz val="10"/>
        <color indexed="9"/>
        <rFont val="Arial Narrow"/>
        <family val="2"/>
      </rPr>
      <t>6</t>
    </r>
  </si>
  <si>
    <r>
      <t>% of Activity Days that Are New Due to the Trail</t>
    </r>
    <r>
      <rPr>
        <b/>
        <vertAlign val="superscript"/>
        <sz val="10"/>
        <color indexed="9"/>
        <rFont val="Arial Narrow"/>
        <family val="2"/>
      </rPr>
      <t>7</t>
    </r>
  </si>
  <si>
    <r>
      <rPr>
        <vertAlign val="superscript"/>
        <sz val="10"/>
        <rFont val="Arial Narrow"/>
        <family val="2"/>
      </rPr>
      <t xml:space="preserve">7 </t>
    </r>
    <r>
      <rPr>
        <sz val="10"/>
        <rFont val="Arial Narrow"/>
        <family val="2"/>
      </rPr>
      <t>Conservative estimate based on prior experience.</t>
    </r>
  </si>
  <si>
    <r>
      <rPr>
        <vertAlign val="superscript"/>
        <sz val="10"/>
        <rFont val="Arial Narrow"/>
        <family val="2"/>
      </rPr>
      <t>5</t>
    </r>
    <r>
      <rPr>
        <sz val="10"/>
        <rFont val="Arial Narrow"/>
        <family val="2"/>
      </rPr>
      <t xml:space="preserve"> ESRI Business Analyst Online, www.bao.esri.com download April 15, 2014</t>
    </r>
  </si>
  <si>
    <r>
      <rPr>
        <vertAlign val="superscript"/>
        <sz val="10"/>
        <rFont val="Arial Narrow"/>
        <family val="2"/>
      </rPr>
      <t>6</t>
    </r>
    <r>
      <rPr>
        <sz val="10"/>
        <rFont val="Arial Narrow"/>
        <family val="2"/>
      </rPr>
      <t xml:space="preserve"> http://www.ct.gov/deep/lib/deep/outdoor_recreation/scorp/scorp_2005_webversion.pdf</t>
    </r>
  </si>
  <si>
    <t>Table 4.3: Increased Participation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</si>
</sst>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
    <numFmt numFmtId="165" formatCode="&quot;$&quot;#,##0"/>
    <numFmt numFmtId="166" formatCode="0.0"/>
    <numFmt numFmtId="167" formatCode="&quot;$&quot;#,##0.00"/>
    <numFmt numFmtId="168" formatCode="_(&quot;$&quot;* #,##0.0000_);_(&quot;$&quot;* \(#,##0.0000\);_(&quot;$&quot;* &quot;-&quot;????_);_(@_)"/>
    <numFmt numFmtId="169" formatCode="_(* #,##0_);_(* \(#,##0\);_(* &quot;-&quot;??_);_(@_)"/>
    <numFmt numFmtId="170" formatCode="_(&quot;$&quot;* #,##0.00_);_(&quot;$&quot;* \(#,##0.00\);_(&quot;$&quot;* &quot;-&quot;_);_(@_)"/>
    <numFmt numFmtId="171" formatCode="_(&quot;$&quot;* #,##0_);_(&quot;$&quot;* \(#,##0\);_(&quot;$&quot;* &quot;-&quot;??_);_(@_)"/>
    <numFmt numFmtId="172" formatCode="0.0%"/>
    <numFmt numFmtId="173" formatCode="0.0000"/>
    <numFmt numFmtId="174" formatCode="#,##0.0"/>
    <numFmt numFmtId="175" formatCode="#,##0.000"/>
    <numFmt numFmtId="176" formatCode="&quot;$&quot;#,##0.0000"/>
    <numFmt numFmtId="177" formatCode="#,##0.000000000"/>
    <numFmt numFmtId="178" formatCode="_(&quot;$&quot;* #,##0.0_);_(&quot;$&quot;* \(#,##0.0\);_(&quot;$&quot;* &quot;-&quot;??_);_(@_)"/>
    <numFmt numFmtId="179" formatCode="_(&quot;$&quot;* #,##0_);_(&quot;$&quot;* \(#,##0\);_(&quot;$&quot;* &quot;-&quot;???_);_(@_)"/>
    <numFmt numFmtId="180" formatCode="#,##0.0\%"/>
    <numFmt numFmtId="181" formatCode="&quot;$&quot;#,##0.0"/>
  </numFmts>
  <fonts count="37" x14ac:knownFonts="1">
    <font>
      <sz val="10"/>
      <name val="Arial"/>
      <family val="2"/>
    </font>
    <font>
      <sz val="10"/>
      <name val="Arial"/>
      <family val="2"/>
    </font>
    <font>
      <sz val="8"/>
      <name val="Arial"/>
      <family val="2"/>
    </font>
    <font>
      <sz val="12"/>
      <name val="Arial Narrow"/>
      <family val="2"/>
    </font>
    <font>
      <b/>
      <sz val="12"/>
      <name val="Arial Narrow"/>
      <family val="2"/>
    </font>
    <font>
      <sz val="10"/>
      <name val="Arial Narrow"/>
      <family val="2"/>
    </font>
    <font>
      <b/>
      <sz val="10"/>
      <name val="Arial Narrow"/>
      <family val="2"/>
    </font>
    <font>
      <sz val="10"/>
      <color indexed="12"/>
      <name val="Arial Narrow"/>
      <family val="2"/>
    </font>
    <font>
      <sz val="10"/>
      <name val="Arial"/>
      <family val="2"/>
    </font>
    <font>
      <sz val="8"/>
      <name val="Arial"/>
      <family val="2"/>
    </font>
    <font>
      <sz val="10"/>
      <name val="Times New Roman"/>
      <family val="1"/>
    </font>
    <font>
      <i/>
      <sz val="10"/>
      <name val="Arial Narrow"/>
      <family val="2"/>
    </font>
    <font>
      <b/>
      <sz val="10"/>
      <color indexed="9"/>
      <name val="Arial Narrow"/>
      <family val="2"/>
    </font>
    <font>
      <b/>
      <vertAlign val="superscript"/>
      <sz val="10"/>
      <color indexed="9"/>
      <name val="Arial Narrow"/>
      <family val="2"/>
    </font>
    <font>
      <vertAlign val="superscript"/>
      <sz val="10"/>
      <name val="Arial Narrow"/>
      <family val="2"/>
    </font>
    <font>
      <b/>
      <sz val="10"/>
      <color indexed="8"/>
      <name val="Arial Narrow"/>
      <family val="2"/>
    </font>
    <font>
      <vertAlign val="subscript"/>
      <sz val="10"/>
      <name val="Arial Narrow"/>
      <family val="2"/>
    </font>
    <font>
      <b/>
      <sz val="10"/>
      <color indexed="12"/>
      <name val="Arial Narrow"/>
      <family val="2"/>
    </font>
    <font>
      <sz val="8"/>
      <color indexed="81"/>
      <name val="Tahoma"/>
      <family val="2"/>
    </font>
    <font>
      <b/>
      <sz val="8"/>
      <color indexed="81"/>
      <name val="Tahoma"/>
      <family val="2"/>
    </font>
    <font>
      <sz val="10"/>
      <color indexed="8"/>
      <name val="Arial Narrow"/>
      <family val="2"/>
    </font>
    <font>
      <b/>
      <sz val="11"/>
      <color indexed="8"/>
      <name val="Arial Narrow"/>
      <family val="2"/>
    </font>
    <font>
      <sz val="10"/>
      <color theme="1"/>
      <name val="Calibri"/>
      <family val="2"/>
      <scheme val="minor"/>
    </font>
    <font>
      <u/>
      <sz val="10"/>
      <color theme="10"/>
      <name val="Arial"/>
      <family val="2"/>
    </font>
    <font>
      <u/>
      <sz val="10"/>
      <color theme="11"/>
      <name val="Arial"/>
      <family val="2"/>
    </font>
    <font>
      <b/>
      <sz val="10"/>
      <color rgb="FF0000FF"/>
      <name val="Arial Narrow"/>
      <family val="2"/>
    </font>
    <font>
      <sz val="10"/>
      <color rgb="FF0000FF"/>
      <name val="Arial Narrow"/>
      <family val="2"/>
    </font>
    <font>
      <sz val="10"/>
      <name val="Arial Unicode MS"/>
      <family val="2"/>
    </font>
    <font>
      <sz val="7"/>
      <color rgb="FF000000"/>
      <name val="Verdana"/>
      <family val="2"/>
    </font>
    <font>
      <vertAlign val="superscript"/>
      <sz val="12"/>
      <name val="Arial Narrow"/>
      <family val="2"/>
    </font>
    <font>
      <b/>
      <vertAlign val="superscript"/>
      <sz val="12"/>
      <color indexed="9"/>
      <name val="Arial Narrow"/>
      <family val="2"/>
    </font>
    <font>
      <b/>
      <sz val="14"/>
      <name val="Arial Narrow"/>
      <family val="2"/>
    </font>
    <font>
      <b/>
      <sz val="11"/>
      <name val="Arial Narrow"/>
      <family val="2"/>
    </font>
    <font>
      <sz val="9"/>
      <name val="Arial Narrow"/>
      <family val="2"/>
    </font>
    <font>
      <b/>
      <sz val="9"/>
      <name val="Arial Narrow"/>
      <family val="2"/>
    </font>
    <font>
      <b/>
      <vertAlign val="superscript"/>
      <sz val="12"/>
      <name val="Arial Narrow"/>
      <family val="2"/>
    </font>
    <font>
      <b/>
      <vertAlign val="superscript"/>
      <sz val="11"/>
      <name val="Arial Narrow"/>
      <family val="2"/>
    </font>
  </fonts>
  <fills count="5">
    <fill>
      <patternFill patternType="none"/>
    </fill>
    <fill>
      <patternFill patternType="gray125"/>
    </fill>
    <fill>
      <patternFill patternType="solid">
        <fgColor indexed="17"/>
        <bgColor indexed="64"/>
      </patternFill>
    </fill>
    <fill>
      <patternFill patternType="solid">
        <fgColor rgb="FF1F5733"/>
        <bgColor indexed="64"/>
      </patternFill>
    </fill>
    <fill>
      <patternFill patternType="solid">
        <fgColor rgb="FFF3F3F3"/>
      </patternFill>
    </fill>
  </fills>
  <borders count="30">
    <border>
      <left/>
      <right/>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27">
    <xf numFmtId="0" fontId="0" fillId="0" borderId="0"/>
    <xf numFmtId="43" fontId="1" fillId="0" borderId="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0" fontId="10" fillId="0" borderId="0"/>
    <xf numFmtId="0" fontId="22" fillId="0" borderId="0"/>
    <xf numFmtId="0" fontId="8" fillId="0" borderId="0"/>
    <xf numFmtId="9" fontId="1" fillId="0" borderId="0" applyFill="0" applyBorder="0" applyAlignment="0" applyProtection="0"/>
    <xf numFmtId="9" fontId="10"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384">
    <xf numFmtId="0" fontId="0" fillId="0" borderId="0" xfId="0"/>
    <xf numFmtId="0" fontId="3" fillId="0" borderId="0" xfId="0" applyFont="1" applyBorder="1"/>
    <xf numFmtId="0" fontId="3" fillId="0" borderId="0" xfId="0" applyFont="1"/>
    <xf numFmtId="0" fontId="5" fillId="0" borderId="0" xfId="0" applyFont="1"/>
    <xf numFmtId="0" fontId="5" fillId="0" borderId="1" xfId="0" applyFont="1" applyBorder="1"/>
    <xf numFmtId="0" fontId="5" fillId="0" borderId="0" xfId="0" applyFont="1" applyBorder="1"/>
    <xf numFmtId="0" fontId="5" fillId="0" borderId="3" xfId="0" applyFont="1" applyBorder="1"/>
    <xf numFmtId="0" fontId="5" fillId="0" borderId="4" xfId="0" applyFont="1" applyBorder="1"/>
    <xf numFmtId="0" fontId="6" fillId="0" borderId="0" xfId="0" applyFont="1"/>
    <xf numFmtId="1" fontId="5" fillId="0" borderId="0" xfId="0" applyNumberFormat="1" applyFont="1"/>
    <xf numFmtId="42" fontId="5" fillId="0" borderId="0" xfId="0" applyNumberFormat="1" applyFont="1"/>
    <xf numFmtId="0" fontId="5" fillId="0" borderId="5" xfId="0" applyFont="1" applyBorder="1"/>
    <xf numFmtId="0" fontId="5" fillId="2" borderId="0" xfId="0" applyFont="1" applyFill="1"/>
    <xf numFmtId="173" fontId="5" fillId="0" borderId="0" xfId="0" applyNumberFormat="1" applyFont="1"/>
    <xf numFmtId="3" fontId="5" fillId="0" borderId="0" xfId="0" applyNumberFormat="1" applyFont="1"/>
    <xf numFmtId="3" fontId="5" fillId="0" borderId="6" xfId="0" applyNumberFormat="1" applyFont="1" applyBorder="1"/>
    <xf numFmtId="0" fontId="5" fillId="0" borderId="0" xfId="0" applyFont="1" applyBorder="1" applyAlignment="1">
      <alignment horizontal="right"/>
    </xf>
    <xf numFmtId="0" fontId="5" fillId="0" borderId="2" xfId="0" applyFont="1" applyBorder="1"/>
    <xf numFmtId="0" fontId="5" fillId="0" borderId="7" xfId="0" applyFont="1" applyBorder="1"/>
    <xf numFmtId="9" fontId="7" fillId="2" borderId="0" xfId="0" applyNumberFormat="1" applyFont="1" applyFill="1"/>
    <xf numFmtId="0" fontId="6" fillId="0" borderId="1" xfId="0" applyFont="1" applyBorder="1"/>
    <xf numFmtId="0" fontId="6" fillId="0" borderId="0" xfId="0" applyFont="1" applyBorder="1"/>
    <xf numFmtId="42" fontId="5" fillId="0" borderId="0" xfId="0" applyNumberFormat="1" applyFont="1" applyBorder="1"/>
    <xf numFmtId="42" fontId="5" fillId="0" borderId="3" xfId="0" applyNumberFormat="1" applyFont="1" applyBorder="1"/>
    <xf numFmtId="9" fontId="7" fillId="0" borderId="0" xfId="0" applyNumberFormat="1" applyFont="1"/>
    <xf numFmtId="8" fontId="5" fillId="0" borderId="0" xfId="0" applyNumberFormat="1" applyFont="1" applyBorder="1"/>
    <xf numFmtId="0" fontId="6" fillId="0" borderId="8" xfId="0" applyFont="1" applyFill="1" applyBorder="1"/>
    <xf numFmtId="0" fontId="6" fillId="0" borderId="9" xfId="0" applyFont="1" applyFill="1" applyBorder="1"/>
    <xf numFmtId="42" fontId="6" fillId="0" borderId="9" xfId="0" applyNumberFormat="1" applyFont="1" applyFill="1" applyBorder="1"/>
    <xf numFmtId="42" fontId="6" fillId="0" borderId="4" xfId="0" applyNumberFormat="1" applyFont="1" applyFill="1" applyBorder="1"/>
    <xf numFmtId="0" fontId="5" fillId="0" borderId="1" xfId="0" applyFont="1" applyFill="1" applyBorder="1"/>
    <xf numFmtId="0" fontId="5" fillId="0" borderId="0" xfId="0" applyFont="1" applyFill="1" applyBorder="1"/>
    <xf numFmtId="0" fontId="5" fillId="0" borderId="6" xfId="0" applyFont="1" applyBorder="1"/>
    <xf numFmtId="3" fontId="5" fillId="0" borderId="3" xfId="0" applyNumberFormat="1" applyFont="1" applyBorder="1"/>
    <xf numFmtId="0" fontId="5" fillId="0" borderId="1" xfId="0" applyFont="1" applyBorder="1" applyAlignment="1">
      <alignment wrapText="1"/>
    </xf>
    <xf numFmtId="44" fontId="5" fillId="0" borderId="3" xfId="0" applyNumberFormat="1" applyFont="1" applyBorder="1"/>
    <xf numFmtId="0" fontId="14" fillId="0" borderId="0" xfId="0" applyFont="1"/>
    <xf numFmtId="0" fontId="5" fillId="0" borderId="8" xfId="0" applyFont="1" applyFill="1" applyBorder="1"/>
    <xf numFmtId="3" fontId="6" fillId="0" borderId="4" xfId="0" applyNumberFormat="1" applyFont="1" applyFill="1" applyBorder="1"/>
    <xf numFmtId="3" fontId="5" fillId="0" borderId="0" xfId="0" applyNumberFormat="1" applyFont="1" applyFill="1" applyBorder="1"/>
    <xf numFmtId="0" fontId="6" fillId="0" borderId="0" xfId="0" applyFont="1" applyFill="1" applyBorder="1" applyAlignment="1">
      <alignment horizontal="right"/>
    </xf>
    <xf numFmtId="165" fontId="6" fillId="0" borderId="0" xfId="0" applyNumberFormat="1" applyFont="1" applyFill="1" applyBorder="1"/>
    <xf numFmtId="0" fontId="6" fillId="0" borderId="0" xfId="0" applyFont="1" applyFill="1" applyBorder="1"/>
    <xf numFmtId="0" fontId="5" fillId="0" borderId="1" xfId="0" applyFont="1" applyFill="1" applyBorder="1" applyAlignment="1">
      <alignment horizontal="left" vertical="center" wrapText="1"/>
    </xf>
    <xf numFmtId="175" fontId="5" fillId="0" borderId="0" xfId="0" applyNumberFormat="1" applyFont="1" applyFill="1" applyBorder="1"/>
    <xf numFmtId="165" fontId="5" fillId="0" borderId="3" xfId="0" applyNumberFormat="1" applyFont="1" applyFill="1" applyBorder="1"/>
    <xf numFmtId="0" fontId="6" fillId="0" borderId="9" xfId="0" applyFont="1" applyFill="1" applyBorder="1" applyAlignment="1">
      <alignment horizontal="right"/>
    </xf>
    <xf numFmtId="3" fontId="6" fillId="0" borderId="9" xfId="0" applyNumberFormat="1" applyFont="1" applyFill="1" applyBorder="1"/>
    <xf numFmtId="3" fontId="6" fillId="0" borderId="0" xfId="0" applyNumberFormat="1" applyFont="1" applyFill="1" applyBorder="1"/>
    <xf numFmtId="42" fontId="6" fillId="0" borderId="0" xfId="0" applyNumberFormat="1" applyFont="1" applyFill="1" applyBorder="1"/>
    <xf numFmtId="0" fontId="12" fillId="2" borderId="11" xfId="0" applyFont="1" applyFill="1" applyBorder="1" applyAlignment="1">
      <alignment horizontal="center" wrapText="1"/>
    </xf>
    <xf numFmtId="165" fontId="6" fillId="0" borderId="3" xfId="0" applyNumberFormat="1" applyFont="1" applyFill="1" applyBorder="1"/>
    <xf numFmtId="3" fontId="5" fillId="0" borderId="1" xfId="0" applyNumberFormat="1" applyFont="1" applyFill="1" applyBorder="1"/>
    <xf numFmtId="3" fontId="6" fillId="0" borderId="8" xfId="0" applyNumberFormat="1" applyFont="1" applyFill="1" applyBorder="1"/>
    <xf numFmtId="176" fontId="6" fillId="0" borderId="4" xfId="0" applyNumberFormat="1" applyFont="1" applyFill="1" applyBorder="1"/>
    <xf numFmtId="0" fontId="5" fillId="0" borderId="0" xfId="0" applyFont="1" applyBorder="1" applyAlignment="1">
      <alignment vertical="top" wrapText="1"/>
    </xf>
    <xf numFmtId="0" fontId="14" fillId="0" borderId="0" xfId="0" applyFont="1" applyFill="1" applyBorder="1" applyAlignment="1">
      <alignment vertical="top" wrapText="1"/>
    </xf>
    <xf numFmtId="0" fontId="5" fillId="0" borderId="15" xfId="0" applyFont="1" applyBorder="1"/>
    <xf numFmtId="0" fontId="5" fillId="0" borderId="17" xfId="0" applyFont="1" applyBorder="1"/>
    <xf numFmtId="44" fontId="5" fillId="0" borderId="0" xfId="0" applyNumberFormat="1" applyFont="1" applyBorder="1"/>
    <xf numFmtId="44" fontId="5" fillId="0" borderId="6" xfId="0" applyNumberFormat="1" applyFont="1" applyBorder="1"/>
    <xf numFmtId="9" fontId="5" fillId="0" borderId="0" xfId="0" applyNumberFormat="1" applyFont="1"/>
    <xf numFmtId="0" fontId="12" fillId="2" borderId="0" xfId="0" applyFont="1" applyFill="1" applyBorder="1" applyAlignment="1">
      <alignment horizontal="center" wrapText="1"/>
    </xf>
    <xf numFmtId="165" fontId="5" fillId="0" borderId="0" xfId="0" applyNumberFormat="1" applyFont="1" applyBorder="1"/>
    <xf numFmtId="42" fontId="7" fillId="0" borderId="0" xfId="0" applyNumberFormat="1" applyFont="1" applyBorder="1"/>
    <xf numFmtId="164" fontId="5" fillId="0" borderId="0" xfId="0" applyNumberFormat="1" applyFont="1" applyBorder="1"/>
    <xf numFmtId="3" fontId="5" fillId="0" borderId="0" xfId="0" applyNumberFormat="1" applyFont="1" applyBorder="1" applyAlignment="1">
      <alignment horizontal="right"/>
    </xf>
    <xf numFmtId="175" fontId="5" fillId="0" borderId="0" xfId="0" applyNumberFormat="1" applyFont="1" applyFill="1" applyBorder="1" applyAlignment="1">
      <alignment horizontal="right"/>
    </xf>
    <xf numFmtId="0" fontId="5" fillId="0" borderId="0" xfId="0" quotePrefix="1" applyFont="1" applyBorder="1"/>
    <xf numFmtId="4" fontId="5" fillId="0" borderId="0" xfId="0" applyNumberFormat="1" applyFont="1" applyBorder="1"/>
    <xf numFmtId="9" fontId="5" fillId="0" borderId="0" xfId="0" applyNumberFormat="1" applyFont="1" applyFill="1" applyBorder="1"/>
    <xf numFmtId="0" fontId="5" fillId="0" borderId="10" xfId="0" applyFont="1" applyBorder="1" applyAlignment="1">
      <alignment wrapText="1"/>
    </xf>
    <xf numFmtId="165" fontId="5" fillId="0" borderId="3" xfId="0" applyNumberFormat="1" applyFont="1" applyBorder="1"/>
    <xf numFmtId="0" fontId="15" fillId="0" borderId="0" xfId="0" applyFont="1" applyFill="1" applyBorder="1"/>
    <xf numFmtId="164" fontId="6" fillId="0" borderId="0" xfId="0" applyNumberFormat="1" applyFont="1" applyFill="1" applyBorder="1"/>
    <xf numFmtId="3" fontId="6" fillId="0" borderId="0" xfId="0" applyNumberFormat="1" applyFont="1" applyBorder="1"/>
    <xf numFmtId="3" fontId="17" fillId="0" borderId="0" xfId="0" applyNumberFormat="1" applyFont="1" applyBorder="1"/>
    <xf numFmtId="171" fontId="5" fillId="0" borderId="3" xfId="0" applyNumberFormat="1" applyFont="1" applyBorder="1"/>
    <xf numFmtId="9" fontId="5" fillId="0" borderId="0" xfId="0" applyNumberFormat="1" applyFont="1" applyBorder="1"/>
    <xf numFmtId="42" fontId="5" fillId="0" borderId="6" xfId="0" applyNumberFormat="1" applyFont="1" applyBorder="1"/>
    <xf numFmtId="0" fontId="5" fillId="0" borderId="19" xfId="0" applyFont="1" applyBorder="1"/>
    <xf numFmtId="0" fontId="5" fillId="0" borderId="12" xfId="0" applyFont="1" applyBorder="1"/>
    <xf numFmtId="9" fontId="5" fillId="0" borderId="12" xfId="0" applyNumberFormat="1" applyFont="1" applyBorder="1"/>
    <xf numFmtId="0" fontId="5" fillId="0" borderId="16" xfId="0" applyFont="1" applyBorder="1"/>
    <xf numFmtId="1" fontId="5" fillId="0" borderId="11" xfId="0" applyNumberFormat="1" applyFont="1" applyBorder="1"/>
    <xf numFmtId="168" fontId="7" fillId="0" borderId="0" xfId="0" applyNumberFormat="1" applyFont="1" applyFill="1" applyBorder="1" applyAlignment="1">
      <alignment horizontal="right" wrapText="1" shrinkToFit="1"/>
    </xf>
    <xf numFmtId="0" fontId="12" fillId="0" borderId="1" xfId="0" applyFont="1" applyFill="1" applyBorder="1" applyAlignment="1">
      <alignment horizontal="center"/>
    </xf>
    <xf numFmtId="174" fontId="5" fillId="0" borderId="3" xfId="0" applyNumberFormat="1" applyFont="1" applyBorder="1"/>
    <xf numFmtId="1" fontId="5" fillId="0" borderId="3" xfId="0" applyNumberFormat="1" applyFont="1" applyBorder="1"/>
    <xf numFmtId="0" fontId="5" fillId="0" borderId="10" xfId="0" applyFont="1" applyBorder="1"/>
    <xf numFmtId="9" fontId="5" fillId="0" borderId="3" xfId="0" applyNumberFormat="1" applyFont="1" applyBorder="1"/>
    <xf numFmtId="170" fontId="5" fillId="0" borderId="0" xfId="0" applyNumberFormat="1" applyFont="1" applyBorder="1"/>
    <xf numFmtId="170" fontId="5" fillId="0" borderId="3" xfId="0" applyNumberFormat="1" applyFont="1" applyBorder="1"/>
    <xf numFmtId="170" fontId="5" fillId="0" borderId="6" xfId="0" applyNumberFormat="1" applyFont="1" applyBorder="1"/>
    <xf numFmtId="170" fontId="5" fillId="0" borderId="7" xfId="0" applyNumberFormat="1" applyFont="1" applyBorder="1"/>
    <xf numFmtId="44" fontId="6" fillId="0" borderId="9" xfId="0" applyNumberFormat="1" applyFont="1" applyFill="1" applyBorder="1"/>
    <xf numFmtId="171" fontId="6" fillId="0" borderId="4" xfId="0" applyNumberFormat="1" applyFont="1" applyFill="1" applyBorder="1"/>
    <xf numFmtId="175" fontId="5" fillId="0" borderId="3" xfId="0" applyNumberFormat="1" applyFont="1" applyFill="1" applyBorder="1"/>
    <xf numFmtId="0" fontId="5" fillId="0" borderId="2" xfId="0" applyFont="1" applyFill="1" applyBorder="1"/>
    <xf numFmtId="0" fontId="12" fillId="2" borderId="5" xfId="0" applyFont="1" applyFill="1" applyBorder="1" applyAlignment="1">
      <alignment horizontal="center" wrapText="1"/>
    </xf>
    <xf numFmtId="4" fontId="5" fillId="0" borderId="3" xfId="0" applyNumberFormat="1" applyFont="1" applyBorder="1"/>
    <xf numFmtId="4" fontId="5" fillId="0" borderId="1" xfId="0" applyNumberFormat="1" applyFont="1" applyBorder="1"/>
    <xf numFmtId="0" fontId="5" fillId="0" borderId="22" xfId="0" applyFont="1" applyBorder="1"/>
    <xf numFmtId="0" fontId="5" fillId="0" borderId="23" xfId="0" applyFont="1" applyBorder="1"/>
    <xf numFmtId="42" fontId="5" fillId="0" borderId="3" xfId="0" applyNumberFormat="1" applyFont="1" applyBorder="1" applyAlignment="1">
      <alignment horizontal="right"/>
    </xf>
    <xf numFmtId="0" fontId="20" fillId="0" borderId="0" xfId="0" applyFont="1" applyBorder="1"/>
    <xf numFmtId="167" fontId="5" fillId="0" borderId="0" xfId="0" applyNumberFormat="1" applyFont="1" applyBorder="1"/>
    <xf numFmtId="0" fontId="15" fillId="0" borderId="0" xfId="0" applyFont="1" applyBorder="1"/>
    <xf numFmtId="167" fontId="6" fillId="0" borderId="0" xfId="0" applyNumberFormat="1" applyFont="1" applyBorder="1"/>
    <xf numFmtId="0" fontId="21" fillId="0" borderId="0" xfId="0" applyFont="1" applyBorder="1"/>
    <xf numFmtId="0" fontId="20" fillId="0" borderId="0" xfId="0" applyFont="1" applyBorder="1" applyAlignment="1">
      <alignment horizontal="right"/>
    </xf>
    <xf numFmtId="2" fontId="20" fillId="0" borderId="0" xfId="7" applyNumberFormat="1" applyFont="1" applyBorder="1"/>
    <xf numFmtId="0" fontId="6" fillId="0" borderId="0" xfId="0" applyFont="1" applyBorder="1" applyAlignment="1">
      <alignment horizontal="center" wrapText="1"/>
    </xf>
    <xf numFmtId="169" fontId="20" fillId="0" borderId="0" xfId="1" applyNumberFormat="1" applyFont="1" applyBorder="1" applyAlignment="1">
      <alignment wrapText="1"/>
    </xf>
    <xf numFmtId="0" fontId="20" fillId="0" borderId="0" xfId="0" applyFont="1" applyBorder="1" applyAlignment="1">
      <alignment wrapText="1"/>
    </xf>
    <xf numFmtId="0" fontId="12" fillId="2" borderId="0" xfId="0" applyFont="1" applyFill="1" applyBorder="1" applyAlignment="1">
      <alignment horizontal="left" wrapText="1"/>
    </xf>
    <xf numFmtId="4" fontId="5" fillId="0" borderId="6" xfId="0" applyNumberFormat="1" applyFont="1" applyBorder="1"/>
    <xf numFmtId="0" fontId="5" fillId="0" borderId="0" xfId="0" applyFont="1" applyFill="1" applyBorder="1" applyAlignment="1"/>
    <xf numFmtId="0" fontId="5" fillId="0" borderId="2" xfId="0" applyFont="1" applyFill="1" applyBorder="1" applyAlignment="1"/>
    <xf numFmtId="0" fontId="5" fillId="0" borderId="6" xfId="0" applyFont="1" applyFill="1" applyBorder="1" applyAlignment="1"/>
    <xf numFmtId="165" fontId="5" fillId="0" borderId="0" xfId="0" applyNumberFormat="1" applyFont="1" applyFill="1" applyBorder="1"/>
    <xf numFmtId="42" fontId="5" fillId="0" borderId="0" xfId="0" applyNumberFormat="1" applyFont="1" applyFill="1" applyBorder="1"/>
    <xf numFmtId="0" fontId="6" fillId="0" borderId="6" xfId="0" applyFont="1" applyBorder="1"/>
    <xf numFmtId="42" fontId="6" fillId="0" borderId="4" xfId="0" applyNumberFormat="1" applyFont="1" applyFill="1" applyBorder="1" applyAlignment="1">
      <alignment horizontal="right"/>
    </xf>
    <xf numFmtId="0" fontId="5" fillId="0" borderId="11" xfId="0" applyFont="1" applyBorder="1"/>
    <xf numFmtId="0" fontId="5" fillId="0" borderId="0" xfId="0" applyFont="1" applyAlignment="1">
      <alignment horizontal="right"/>
    </xf>
    <xf numFmtId="0" fontId="5" fillId="0" borderId="9" xfId="0" applyFont="1" applyFill="1" applyBorder="1"/>
    <xf numFmtId="42" fontId="6" fillId="0" borderId="0" xfId="0" applyNumberFormat="1" applyFont="1" applyBorder="1"/>
    <xf numFmtId="0" fontId="12" fillId="0" borderId="0" xfId="0" applyFont="1" applyFill="1" applyBorder="1"/>
    <xf numFmtId="166" fontId="5" fillId="0" borderId="0" xfId="0" applyNumberFormat="1" applyFont="1" applyBorder="1"/>
    <xf numFmtId="166" fontId="5" fillId="0" borderId="18" xfId="0" applyNumberFormat="1" applyFont="1" applyBorder="1"/>
    <xf numFmtId="2" fontId="5" fillId="0" borderId="0" xfId="0" applyNumberFormat="1" applyFont="1"/>
    <xf numFmtId="176" fontId="5" fillId="0" borderId="3" xfId="0" applyNumberFormat="1" applyFont="1" applyFill="1" applyBorder="1"/>
    <xf numFmtId="0" fontId="5" fillId="0" borderId="10" xfId="0" applyFont="1" applyFill="1" applyBorder="1"/>
    <xf numFmtId="0" fontId="12" fillId="0" borderId="0" xfId="0" applyFont="1" applyFill="1" applyBorder="1" applyAlignment="1"/>
    <xf numFmtId="3" fontId="5" fillId="0" borderId="3" xfId="0" applyNumberFormat="1" applyFont="1" applyFill="1" applyBorder="1"/>
    <xf numFmtId="172" fontId="5" fillId="0" borderId="6" xfId="7" applyNumberFormat="1" applyFont="1" applyBorder="1"/>
    <xf numFmtId="0" fontId="5" fillId="0" borderId="9" xfId="0" applyFont="1" applyBorder="1"/>
    <xf numFmtId="3" fontId="5" fillId="0" borderId="5" xfId="0" applyNumberFormat="1" applyFont="1" applyBorder="1"/>
    <xf numFmtId="44" fontId="5" fillId="0" borderId="3" xfId="0" applyNumberFormat="1" applyFont="1" applyFill="1" applyBorder="1"/>
    <xf numFmtId="0" fontId="5" fillId="0" borderId="0" xfId="0" applyNumberFormat="1" applyFont="1" applyBorder="1" applyAlignment="1"/>
    <xf numFmtId="4" fontId="5" fillId="0" borderId="10" xfId="0" applyNumberFormat="1" applyFont="1" applyBorder="1"/>
    <xf numFmtId="0" fontId="5" fillId="0" borderId="11" xfId="0" applyNumberFormat="1" applyFont="1" applyBorder="1" applyAlignment="1"/>
    <xf numFmtId="0" fontId="5" fillId="0" borderId="5" xfId="0" applyNumberFormat="1" applyFont="1" applyBorder="1" applyAlignment="1"/>
    <xf numFmtId="0" fontId="5" fillId="0" borderId="3" xfId="0" applyNumberFormat="1" applyFont="1" applyBorder="1" applyAlignment="1"/>
    <xf numFmtId="4" fontId="5" fillId="0" borderId="2" xfId="0" applyNumberFormat="1" applyFont="1" applyBorder="1"/>
    <xf numFmtId="0" fontId="5" fillId="0" borderId="6" xfId="0" applyNumberFormat="1" applyFont="1" applyBorder="1" applyAlignment="1"/>
    <xf numFmtId="0" fontId="5" fillId="0" borderId="7" xfId="0" applyNumberFormat="1" applyFont="1" applyBorder="1" applyAlignment="1"/>
    <xf numFmtId="164" fontId="6" fillId="0" borderId="9" xfId="0" applyNumberFormat="1" applyFont="1" applyFill="1" applyBorder="1"/>
    <xf numFmtId="4" fontId="6" fillId="0" borderId="9" xfId="0" applyNumberFormat="1" applyFont="1" applyFill="1" applyBorder="1"/>
    <xf numFmtId="4" fontId="6" fillId="0" borderId="4" xfId="0" applyNumberFormat="1" applyFont="1" applyFill="1" applyBorder="1"/>
    <xf numFmtId="0" fontId="6" fillId="0" borderId="0" xfId="0" applyFont="1" applyFill="1" applyBorder="1" applyAlignment="1">
      <alignment horizontal="centerContinuous" wrapText="1"/>
    </xf>
    <xf numFmtId="4" fontId="5" fillId="0" borderId="11" xfId="0" applyNumberFormat="1" applyFont="1" applyBorder="1"/>
    <xf numFmtId="4" fontId="5" fillId="0" borderId="5" xfId="0" applyNumberFormat="1" applyFont="1" applyBorder="1"/>
    <xf numFmtId="4" fontId="5" fillId="0" borderId="7" xfId="0" applyNumberFormat="1" applyFont="1" applyBorder="1"/>
    <xf numFmtId="164" fontId="5" fillId="0" borderId="0" xfId="0" applyNumberFormat="1" applyFont="1" applyFill="1" applyBorder="1"/>
    <xf numFmtId="0" fontId="6" fillId="0" borderId="2" xfId="0" applyFont="1" applyFill="1" applyBorder="1" applyAlignment="1">
      <alignment horizontal="left"/>
    </xf>
    <xf numFmtId="0" fontId="5" fillId="0" borderId="6" xfId="0" applyFont="1" applyFill="1" applyBorder="1"/>
    <xf numFmtId="165" fontId="6" fillId="0" borderId="6" xfId="0" applyNumberFormat="1" applyFont="1" applyFill="1" applyBorder="1"/>
    <xf numFmtId="0" fontId="5" fillId="0" borderId="0" xfId="0" quotePrefix="1" applyFont="1" applyFill="1" applyBorder="1"/>
    <xf numFmtId="175" fontId="5" fillId="0" borderId="6" xfId="0" applyNumberFormat="1" applyFont="1" applyFill="1" applyBorder="1"/>
    <xf numFmtId="175" fontId="5" fillId="0" borderId="7" xfId="0" applyNumberFormat="1" applyFont="1" applyFill="1" applyBorder="1"/>
    <xf numFmtId="177" fontId="5" fillId="0" borderId="3" xfId="0" applyNumberFormat="1" applyFont="1" applyBorder="1"/>
    <xf numFmtId="0" fontId="7" fillId="0" borderId="3" xfId="0" applyFont="1" applyBorder="1"/>
    <xf numFmtId="9" fontId="7" fillId="0" borderId="7" xfId="0" applyNumberFormat="1" applyFont="1" applyFill="1" applyBorder="1"/>
    <xf numFmtId="0" fontId="5" fillId="0" borderId="2" xfId="0" applyFont="1" applyBorder="1" applyAlignment="1">
      <alignment wrapText="1"/>
    </xf>
    <xf numFmtId="0" fontId="6" fillId="0" borderId="2" xfId="0" applyFont="1" applyFill="1" applyBorder="1" applyAlignment="1">
      <alignment wrapText="1"/>
    </xf>
    <xf numFmtId="10" fontId="5" fillId="0" borderId="0" xfId="7" applyNumberFormat="1" applyFont="1" applyFill="1" applyBorder="1"/>
    <xf numFmtId="0" fontId="12" fillId="0" borderId="0" xfId="0" applyFont="1" applyFill="1" applyBorder="1" applyAlignment="1">
      <alignment horizontal="center"/>
    </xf>
    <xf numFmtId="0" fontId="5" fillId="0" borderId="24" xfId="0" applyFont="1" applyBorder="1"/>
    <xf numFmtId="2" fontId="6" fillId="0" borderId="0" xfId="0" applyNumberFormat="1" applyFont="1" applyFill="1" applyBorder="1"/>
    <xf numFmtId="165" fontId="7" fillId="0" borderId="0" xfId="0" applyNumberFormat="1" applyFont="1" applyFill="1" applyBorder="1"/>
    <xf numFmtId="164" fontId="7" fillId="0" borderId="0" xfId="0" applyNumberFormat="1" applyFont="1" applyFill="1" applyBorder="1"/>
    <xf numFmtId="172" fontId="5" fillId="0" borderId="0" xfId="7" applyNumberFormat="1" applyFont="1" applyFill="1" applyBorder="1"/>
    <xf numFmtId="0" fontId="7" fillId="0" borderId="0" xfId="0" applyFont="1" applyFill="1" applyBorder="1"/>
    <xf numFmtId="165" fontId="7" fillId="0" borderId="3" xfId="0" applyNumberFormat="1" applyFont="1" applyFill="1" applyBorder="1"/>
    <xf numFmtId="10" fontId="5" fillId="0" borderId="3" xfId="0" applyNumberFormat="1" applyFont="1" applyFill="1" applyBorder="1"/>
    <xf numFmtId="9" fontId="7" fillId="0" borderId="3" xfId="0" applyNumberFormat="1" applyFont="1" applyFill="1" applyBorder="1" applyAlignment="1">
      <alignment vertical="top"/>
    </xf>
    <xf numFmtId="2" fontId="5" fillId="0" borderId="11" xfId="0" applyNumberFormat="1" applyFont="1" applyFill="1" applyBorder="1"/>
    <xf numFmtId="2" fontId="5" fillId="0" borderId="5" xfId="0" applyNumberFormat="1" applyFont="1" applyFill="1" applyBorder="1"/>
    <xf numFmtId="167" fontId="5" fillId="0" borderId="3" xfId="0" applyNumberFormat="1" applyFont="1" applyBorder="1"/>
    <xf numFmtId="167" fontId="5" fillId="0" borderId="6" xfId="0" applyNumberFormat="1" applyFont="1" applyBorder="1"/>
    <xf numFmtId="167" fontId="5" fillId="0" borderId="7" xfId="0" applyNumberFormat="1" applyFont="1" applyBorder="1"/>
    <xf numFmtId="0" fontId="5" fillId="0" borderId="11" xfId="6" applyFont="1" applyBorder="1"/>
    <xf numFmtId="0" fontId="5" fillId="0" borderId="0" xfId="6" applyFont="1" applyBorder="1"/>
    <xf numFmtId="0" fontId="5" fillId="0" borderId="6" xfId="6" applyFont="1" applyBorder="1"/>
    <xf numFmtId="3" fontId="5" fillId="0" borderId="0" xfId="6" applyNumberFormat="1" applyFont="1" applyBorder="1"/>
    <xf numFmtId="3" fontId="5" fillId="0" borderId="11" xfId="6" applyNumberFormat="1" applyFont="1" applyBorder="1"/>
    <xf numFmtId="0" fontId="14" fillId="0" borderId="0" xfId="0" applyFont="1" applyBorder="1" applyAlignment="1">
      <alignment vertical="top" wrapText="1"/>
    </xf>
    <xf numFmtId="0" fontId="5" fillId="0" borderId="0" xfId="0" applyFont="1" applyBorder="1" applyAlignment="1">
      <alignment vertical="top" wrapText="1"/>
    </xf>
    <xf numFmtId="0" fontId="6" fillId="0" borderId="0" xfId="0" applyFont="1" applyBorder="1" applyAlignment="1"/>
    <xf numFmtId="0" fontId="5" fillId="0" borderId="0" xfId="0" applyFont="1" applyBorder="1" applyAlignment="1"/>
    <xf numFmtId="0" fontId="14" fillId="0" borderId="0" xfId="0" applyFont="1" applyBorder="1" applyAlignment="1">
      <alignment vertical="top"/>
    </xf>
    <xf numFmtId="0" fontId="5" fillId="0" borderId="0" xfId="0" applyFont="1" applyBorder="1" applyAlignment="1">
      <alignment vertical="top"/>
    </xf>
    <xf numFmtId="9" fontId="6" fillId="0" borderId="0" xfId="0" applyNumberFormat="1" applyFont="1" applyFill="1" applyBorder="1"/>
    <xf numFmtId="0" fontId="12" fillId="0" borderId="0" xfId="0" applyFont="1" applyFill="1" applyBorder="1" applyAlignment="1">
      <alignment horizontal="left"/>
    </xf>
    <xf numFmtId="0" fontId="12" fillId="0" borderId="0" xfId="0" applyFont="1" applyFill="1" applyBorder="1" applyAlignment="1">
      <alignment wrapText="1"/>
    </xf>
    <xf numFmtId="0" fontId="5" fillId="0" borderId="10" xfId="0" applyFont="1" applyBorder="1" applyAlignment="1"/>
    <xf numFmtId="0" fontId="5" fillId="0" borderId="11" xfId="0" applyFont="1" applyBorder="1" applyAlignment="1"/>
    <xf numFmtId="0" fontId="5" fillId="0" borderId="5" xfId="0" applyFont="1" applyBorder="1" applyAlignment="1"/>
    <xf numFmtId="0" fontId="5" fillId="0" borderId="1" xfId="0" applyFont="1" applyBorder="1" applyAlignment="1"/>
    <xf numFmtId="0" fontId="5" fillId="0" borderId="3" xfId="0" applyFont="1" applyBorder="1" applyAlignment="1"/>
    <xf numFmtId="3" fontId="5" fillId="0" borderId="10" xfId="0" applyNumberFormat="1" applyFont="1" applyFill="1" applyBorder="1" applyAlignment="1"/>
    <xf numFmtId="3" fontId="5" fillId="0" borderId="2" xfId="0" applyNumberFormat="1" applyFont="1" applyFill="1" applyBorder="1" applyAlignment="1"/>
    <xf numFmtId="3" fontId="5" fillId="0" borderId="0" xfId="0" applyNumberFormat="1" applyFont="1" applyFill="1" applyBorder="1" applyAlignment="1"/>
    <xf numFmtId="0" fontId="5" fillId="0" borderId="1" xfId="0" applyFont="1" applyFill="1" applyBorder="1" applyAlignment="1"/>
    <xf numFmtId="0" fontId="3" fillId="0" borderId="3" xfId="0" applyFont="1" applyBorder="1"/>
    <xf numFmtId="0" fontId="3" fillId="0" borderId="7" xfId="0" applyFont="1" applyBorder="1"/>
    <xf numFmtId="0" fontId="23" fillId="0" borderId="0" xfId="119" applyFill="1" applyBorder="1"/>
    <xf numFmtId="2" fontId="5" fillId="0" borderId="3" xfId="0" applyNumberFormat="1" applyFont="1" applyFill="1" applyBorder="1"/>
    <xf numFmtId="0" fontId="6" fillId="0" borderId="0" xfId="6" applyFont="1" applyBorder="1"/>
    <xf numFmtId="3" fontId="25" fillId="0" borderId="0" xfId="0" applyNumberFormat="1" applyFont="1" applyBorder="1"/>
    <xf numFmtId="164" fontId="26" fillId="0" borderId="11" xfId="0" applyNumberFormat="1" applyFont="1" applyFill="1" applyBorder="1"/>
    <xf numFmtId="164" fontId="26" fillId="0" borderId="0" xfId="0" applyNumberFormat="1" applyFont="1" applyFill="1" applyBorder="1"/>
    <xf numFmtId="164" fontId="26" fillId="0" borderId="6" xfId="0" applyNumberFormat="1" applyFont="1" applyFill="1" applyBorder="1"/>
    <xf numFmtId="175" fontId="26" fillId="0" borderId="3" xfId="0" applyNumberFormat="1" applyFont="1" applyFill="1" applyBorder="1"/>
    <xf numFmtId="0" fontId="26" fillId="0" borderId="3" xfId="0" applyFont="1" applyFill="1" applyBorder="1"/>
    <xf numFmtId="44" fontId="5" fillId="0" borderId="0" xfId="0" applyNumberFormat="1" applyFont="1" applyFill="1" applyBorder="1"/>
    <xf numFmtId="178" fontId="5" fillId="0" borderId="0" xfId="0" applyNumberFormat="1" applyFont="1" applyBorder="1"/>
    <xf numFmtId="0" fontId="5" fillId="0" borderId="6" xfId="0" applyFont="1" applyBorder="1" applyAlignment="1">
      <alignment horizontal="right"/>
    </xf>
    <xf numFmtId="0" fontId="12" fillId="2" borderId="11" xfId="0" applyFont="1" applyFill="1" applyBorder="1" applyAlignment="1">
      <alignment horizontal="left"/>
    </xf>
    <xf numFmtId="0" fontId="12" fillId="2" borderId="5" xfId="0" applyFont="1" applyFill="1" applyBorder="1" applyAlignment="1">
      <alignment horizontal="left"/>
    </xf>
    <xf numFmtId="0" fontId="14" fillId="0" borderId="0" xfId="0" applyFont="1" applyBorder="1" applyAlignment="1">
      <alignment horizontal="left" wrapText="1"/>
    </xf>
    <xf numFmtId="0" fontId="5" fillId="0" borderId="24" xfId="0" applyFont="1" applyFill="1" applyBorder="1" applyAlignment="1"/>
    <xf numFmtId="0" fontId="5" fillId="0" borderId="22" xfId="0" applyFont="1" applyFill="1" applyBorder="1" applyAlignment="1"/>
    <xf numFmtId="0" fontId="5" fillId="0" borderId="23" xfId="0" applyFont="1" applyFill="1" applyBorder="1" applyAlignment="1"/>
    <xf numFmtId="0" fontId="12" fillId="2" borderId="10" xfId="0" applyFont="1" applyFill="1" applyBorder="1" applyAlignment="1">
      <alignment horizontal="left" wrapText="1"/>
    </xf>
    <xf numFmtId="0" fontId="12" fillId="2" borderId="1" xfId="0" applyFont="1" applyFill="1" applyBorder="1" applyAlignment="1">
      <alignment horizontal="left" wrapText="1"/>
    </xf>
    <xf numFmtId="0" fontId="12" fillId="2" borderId="3" xfId="0" applyFont="1" applyFill="1" applyBorder="1" applyAlignment="1">
      <alignment horizontal="center" wrapText="1"/>
    </xf>
    <xf numFmtId="17" fontId="5" fillId="0" borderId="0" xfId="0" applyNumberFormat="1" applyFont="1"/>
    <xf numFmtId="14" fontId="5" fillId="0" borderId="0" xfId="0" applyNumberFormat="1" applyFont="1"/>
    <xf numFmtId="3" fontId="6" fillId="0" borderId="0" xfId="0" applyNumberFormat="1" applyFont="1"/>
    <xf numFmtId="9" fontId="5" fillId="0" borderId="0" xfId="7" applyFont="1"/>
    <xf numFmtId="0" fontId="5" fillId="0" borderId="0" xfId="0" applyFont="1" applyAlignment="1">
      <alignment horizontal="left"/>
    </xf>
    <xf numFmtId="3" fontId="5" fillId="0" borderId="11" xfId="0" applyNumberFormat="1" applyFont="1" applyBorder="1"/>
    <xf numFmtId="0" fontId="5" fillId="0" borderId="28" xfId="6" applyFont="1" applyBorder="1"/>
    <xf numFmtId="3" fontId="5" fillId="0" borderId="29" xfId="0" applyNumberFormat="1" applyFont="1" applyBorder="1"/>
    <xf numFmtId="3" fontId="5" fillId="0" borderId="26" xfId="0" applyNumberFormat="1" applyFont="1" applyBorder="1"/>
    <xf numFmtId="14" fontId="27" fillId="0" borderId="0" xfId="0" applyNumberFormat="1" applyFont="1" applyAlignment="1">
      <alignment vertical="center"/>
    </xf>
    <xf numFmtId="164" fontId="5" fillId="0" borderId="0" xfId="0" applyNumberFormat="1" applyFont="1"/>
    <xf numFmtId="0" fontId="5" fillId="0" borderId="6" xfId="0" applyFont="1" applyBorder="1" applyAlignment="1">
      <alignment horizontal="left"/>
    </xf>
    <xf numFmtId="42" fontId="6" fillId="0" borderId="25" xfId="0" applyNumberFormat="1" applyFont="1" applyFill="1" applyBorder="1"/>
    <xf numFmtId="165" fontId="6" fillId="0" borderId="25" xfId="0" applyNumberFormat="1" applyFont="1" applyFill="1" applyBorder="1"/>
    <xf numFmtId="164" fontId="5" fillId="0" borderId="0" xfId="0" applyNumberFormat="1" applyFont="1" applyFill="1"/>
    <xf numFmtId="165" fontId="5" fillId="0" borderId="25" xfId="0" applyNumberFormat="1" applyFont="1" applyFill="1" applyBorder="1"/>
    <xf numFmtId="165" fontId="5" fillId="0" borderId="25" xfId="0" applyNumberFormat="1" applyFont="1" applyBorder="1"/>
    <xf numFmtId="165" fontId="5" fillId="0" borderId="6" xfId="0" applyNumberFormat="1" applyFont="1" applyBorder="1"/>
    <xf numFmtId="179" fontId="5" fillId="0" borderId="0" xfId="0" applyNumberFormat="1" applyFont="1" applyBorder="1"/>
    <xf numFmtId="0" fontId="12" fillId="3" borderId="8" xfId="0" applyFont="1" applyFill="1" applyBorder="1"/>
    <xf numFmtId="0" fontId="12" fillId="3" borderId="9" xfId="0" applyFont="1" applyFill="1" applyBorder="1" applyAlignment="1">
      <alignment horizontal="center"/>
    </xf>
    <xf numFmtId="0" fontId="12" fillId="3" borderId="4" xfId="0" applyFont="1" applyFill="1" applyBorder="1" applyAlignment="1">
      <alignment horizontal="right"/>
    </xf>
    <xf numFmtId="0" fontId="12" fillId="3" borderId="4" xfId="0" applyFont="1" applyFill="1" applyBorder="1" applyAlignment="1">
      <alignment horizontal="center"/>
    </xf>
    <xf numFmtId="42" fontId="12" fillId="3" borderId="4" xfId="0" applyNumberFormat="1" applyFont="1" applyFill="1" applyBorder="1" applyAlignment="1">
      <alignment horizontal="center"/>
    </xf>
    <xf numFmtId="0" fontId="12" fillId="3" borderId="9" xfId="0" applyFont="1" applyFill="1" applyBorder="1" applyAlignment="1">
      <alignment horizontal="left"/>
    </xf>
    <xf numFmtId="0" fontId="12" fillId="3" borderId="9" xfId="0" applyFont="1" applyFill="1" applyBorder="1"/>
    <xf numFmtId="0" fontId="12" fillId="3" borderId="9" xfId="0" applyFont="1" applyFill="1" applyBorder="1" applyAlignment="1">
      <alignment horizontal="right"/>
    </xf>
    <xf numFmtId="0" fontId="12" fillId="3" borderId="21" xfId="0" applyFont="1" applyFill="1" applyBorder="1" applyAlignment="1">
      <alignment horizontal="left"/>
    </xf>
    <xf numFmtId="0" fontId="12" fillId="3" borderId="13" xfId="0" applyFont="1" applyFill="1" applyBorder="1" applyAlignment="1">
      <alignment horizontal="right"/>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2" fillId="3" borderId="0" xfId="0" applyFont="1" applyFill="1" applyBorder="1" applyAlignment="1">
      <alignment horizontal="center" wrapText="1"/>
    </xf>
    <xf numFmtId="0" fontId="12" fillId="3" borderId="0" xfId="0" applyFont="1" applyFill="1" applyBorder="1" applyAlignment="1">
      <alignment horizontal="left" wrapText="1"/>
    </xf>
    <xf numFmtId="0" fontId="12" fillId="3" borderId="8" xfId="0" applyFont="1" applyFill="1" applyBorder="1" applyAlignment="1">
      <alignment horizontal="center"/>
    </xf>
    <xf numFmtId="0" fontId="12" fillId="3" borderId="11" xfId="0" applyFont="1" applyFill="1" applyBorder="1" applyAlignment="1">
      <alignment horizontal="center"/>
    </xf>
    <xf numFmtId="0" fontId="12" fillId="3" borderId="8" xfId="0" applyFont="1" applyFill="1" applyBorder="1" applyAlignment="1"/>
    <xf numFmtId="0" fontId="12" fillId="3" borderId="9" xfId="0" applyFont="1" applyFill="1" applyBorder="1" applyAlignment="1"/>
    <xf numFmtId="0" fontId="12" fillId="3" borderId="4" xfId="0" applyFont="1" applyFill="1" applyBorder="1" applyAlignment="1"/>
    <xf numFmtId="0" fontId="12" fillId="3" borderId="9" xfId="0" applyFont="1" applyFill="1" applyBorder="1" applyAlignment="1">
      <alignment horizontal="center" wrapText="1"/>
    </xf>
    <xf numFmtId="165" fontId="12" fillId="3" borderId="9" xfId="0" applyNumberFormat="1" applyFont="1" applyFill="1" applyBorder="1" applyAlignment="1">
      <alignment horizontal="center" wrapText="1"/>
    </xf>
    <xf numFmtId="165" fontId="12" fillId="3" borderId="4" xfId="0" applyNumberFormat="1" applyFont="1" applyFill="1" applyBorder="1" applyAlignment="1">
      <alignment horizontal="center" wrapText="1"/>
    </xf>
    <xf numFmtId="165" fontId="12" fillId="3" borderId="8" xfId="0" applyNumberFormat="1" applyFont="1" applyFill="1" applyBorder="1" applyAlignment="1">
      <alignment horizontal="center" wrapText="1"/>
    </xf>
    <xf numFmtId="0" fontId="12" fillId="3" borderId="10" xfId="0" applyFont="1" applyFill="1" applyBorder="1" applyAlignment="1">
      <alignment horizontal="center"/>
    </xf>
    <xf numFmtId="0" fontId="12" fillId="3" borderId="11" xfId="0" applyFont="1" applyFill="1" applyBorder="1" applyAlignment="1">
      <alignment horizontal="center" wrapText="1"/>
    </xf>
    <xf numFmtId="165" fontId="12" fillId="3" borderId="11" xfId="0" applyNumberFormat="1" applyFont="1" applyFill="1" applyBorder="1" applyAlignment="1">
      <alignment horizontal="center" wrapText="1"/>
    </xf>
    <xf numFmtId="0" fontId="12" fillId="3" borderId="8" xfId="0" applyFont="1" applyFill="1" applyBorder="1" applyAlignment="1">
      <alignment horizontal="left"/>
    </xf>
    <xf numFmtId="0" fontId="12" fillId="3" borderId="4" xfId="0" applyFont="1" applyFill="1" applyBorder="1" applyAlignment="1">
      <alignment horizontal="center" wrapText="1"/>
    </xf>
    <xf numFmtId="0" fontId="12" fillId="3" borderId="27" xfId="0" applyFont="1" applyFill="1" applyBorder="1" applyAlignment="1"/>
    <xf numFmtId="166" fontId="5" fillId="0" borderId="0" xfId="0" applyNumberFormat="1" applyFont="1" applyFill="1" applyBorder="1" applyAlignment="1">
      <alignment wrapText="1" shrinkToFit="1"/>
    </xf>
    <xf numFmtId="174" fontId="5" fillId="0" borderId="3" xfId="0" applyNumberFormat="1" applyFont="1" applyFill="1" applyBorder="1"/>
    <xf numFmtId="9" fontId="5" fillId="0" borderId="7" xfId="7" applyFont="1" applyFill="1" applyBorder="1"/>
    <xf numFmtId="0" fontId="0" fillId="0" borderId="0" xfId="0" applyAlignment="1"/>
    <xf numFmtId="171" fontId="5" fillId="0" borderId="1" xfId="2" applyNumberFormat="1" applyFont="1" applyBorder="1" applyAlignment="1">
      <alignment wrapText="1"/>
    </xf>
    <xf numFmtId="171" fontId="5" fillId="0" borderId="0" xfId="2" applyNumberFormat="1" applyFont="1"/>
    <xf numFmtId="165" fontId="5" fillId="0" borderId="5" xfId="2" applyNumberFormat="1" applyFont="1" applyFill="1" applyBorder="1"/>
    <xf numFmtId="165" fontId="5" fillId="0" borderId="3" xfId="2" applyNumberFormat="1" applyFont="1" applyFill="1" applyBorder="1"/>
    <xf numFmtId="165" fontId="5" fillId="0" borderId="7" xfId="2" applyNumberFormat="1" applyFont="1" applyBorder="1"/>
    <xf numFmtId="171" fontId="5" fillId="0" borderId="22" xfId="2" applyNumberFormat="1" applyFont="1" applyBorder="1" applyAlignment="1">
      <alignment wrapText="1"/>
    </xf>
    <xf numFmtId="0" fontId="6" fillId="0" borderId="8" xfId="0" applyFont="1" applyBorder="1"/>
    <xf numFmtId="3" fontId="6" fillId="0" borderId="9" xfId="0" applyNumberFormat="1" applyFont="1" applyBorder="1"/>
    <xf numFmtId="171" fontId="6" fillId="0" borderId="4" xfId="2" applyNumberFormat="1" applyFont="1" applyBorder="1"/>
    <xf numFmtId="165" fontId="5" fillId="0" borderId="5" xfId="0" applyNumberFormat="1" applyFont="1" applyFill="1" applyBorder="1"/>
    <xf numFmtId="9" fontId="1" fillId="0" borderId="3" xfId="7" applyFill="1" applyBorder="1"/>
    <xf numFmtId="0" fontId="4" fillId="0" borderId="0" xfId="0" applyFont="1" applyBorder="1"/>
    <xf numFmtId="3" fontId="3" fillId="0" borderId="0" xfId="0" applyNumberFormat="1" applyFont="1" applyFill="1" applyBorder="1"/>
    <xf numFmtId="0" fontId="3" fillId="0" borderId="0" xfId="0" applyFont="1" applyFill="1" applyBorder="1"/>
    <xf numFmtId="0" fontId="31" fillId="0" borderId="0" xfId="0" applyFont="1" applyBorder="1"/>
    <xf numFmtId="9" fontId="3" fillId="0" borderId="0" xfId="0" applyNumberFormat="1" applyFont="1" applyFill="1" applyBorder="1"/>
    <xf numFmtId="0" fontId="4" fillId="0" borderId="0" xfId="0" applyFont="1" applyFill="1" applyBorder="1"/>
    <xf numFmtId="3" fontId="4" fillId="0" borderId="0" xfId="0" applyNumberFormat="1" applyFont="1" applyFill="1" applyBorder="1"/>
    <xf numFmtId="42" fontId="4" fillId="0" borderId="0" xfId="0" applyNumberFormat="1" applyFont="1" applyFill="1" applyBorder="1"/>
    <xf numFmtId="2" fontId="3" fillId="0" borderId="0" xfId="0" applyNumberFormat="1" applyFont="1" applyBorder="1"/>
    <xf numFmtId="0" fontId="3" fillId="0" borderId="0" xfId="0" applyFont="1" applyFill="1"/>
    <xf numFmtId="42" fontId="3" fillId="0" borderId="0" xfId="0" applyNumberFormat="1" applyFont="1" applyBorder="1"/>
    <xf numFmtId="0" fontId="3" fillId="0" borderId="0" xfId="0" applyFont="1" applyBorder="1" applyAlignment="1">
      <alignment wrapText="1"/>
    </xf>
    <xf numFmtId="0" fontId="3" fillId="0" borderId="0" xfId="0" applyFont="1" applyAlignment="1">
      <alignment wrapText="1"/>
    </xf>
    <xf numFmtId="171" fontId="5" fillId="0" borderId="0" xfId="2" applyNumberFormat="1" applyFont="1" applyBorder="1"/>
    <xf numFmtId="171" fontId="5" fillId="0" borderId="0" xfId="2" applyNumberFormat="1" applyFont="1" applyFill="1" applyBorder="1"/>
    <xf numFmtId="6" fontId="5" fillId="0" borderId="0" xfId="0" applyNumberFormat="1" applyFont="1"/>
    <xf numFmtId="169" fontId="1" fillId="0" borderId="0" xfId="1" applyNumberFormat="1"/>
    <xf numFmtId="4" fontId="5" fillId="0" borderId="0" xfId="0" applyNumberFormat="1" applyFont="1"/>
    <xf numFmtId="165" fontId="5" fillId="0" borderId="18" xfId="0" applyNumberFormat="1" applyFont="1" applyBorder="1"/>
    <xf numFmtId="165" fontId="5" fillId="0" borderId="20" xfId="0" applyNumberFormat="1" applyFont="1" applyBorder="1"/>
    <xf numFmtId="0" fontId="12" fillId="3" borderId="10" xfId="0" applyFont="1" applyFill="1" applyBorder="1" applyAlignment="1">
      <alignment horizontal="center" wrapText="1"/>
    </xf>
    <xf numFmtId="0" fontId="5" fillId="0" borderId="0" xfId="0" applyFont="1" applyAlignment="1">
      <alignment wrapText="1"/>
    </xf>
    <xf numFmtId="0" fontId="12" fillId="3" borderId="24" xfId="0" applyFont="1" applyFill="1" applyBorder="1" applyAlignment="1">
      <alignment horizontal="center" wrapText="1"/>
    </xf>
    <xf numFmtId="0" fontId="5" fillId="0" borderId="8" xfId="0" applyFont="1" applyBorder="1"/>
    <xf numFmtId="0" fontId="12" fillId="3" borderId="8" xfId="0" applyFont="1" applyFill="1" applyBorder="1" applyAlignment="1">
      <alignment horizontal="center" wrapText="1"/>
    </xf>
    <xf numFmtId="169" fontId="1" fillId="0" borderId="0" xfId="1" applyNumberFormat="1" applyBorder="1"/>
    <xf numFmtId="44" fontId="5" fillId="0" borderId="3" xfId="2" applyFont="1" applyBorder="1"/>
    <xf numFmtId="0" fontId="12" fillId="3" borderId="27" xfId="0" applyFont="1" applyFill="1" applyBorder="1" applyAlignment="1">
      <alignment horizontal="center"/>
    </xf>
    <xf numFmtId="169" fontId="5" fillId="0" borderId="3" xfId="1" applyNumberFormat="1" applyFont="1" applyBorder="1"/>
    <xf numFmtId="44" fontId="5" fillId="0" borderId="7" xfId="2" applyFont="1" applyBorder="1"/>
    <xf numFmtId="0" fontId="12" fillId="3" borderId="27" xfId="0" applyFont="1" applyFill="1" applyBorder="1" applyAlignment="1">
      <alignment horizontal="center" wrapText="1"/>
    </xf>
    <xf numFmtId="2" fontId="5" fillId="0" borderId="0" xfId="0" applyNumberFormat="1" applyFont="1" applyBorder="1"/>
    <xf numFmtId="2" fontId="5" fillId="0" borderId="6" xfId="0" applyNumberFormat="1" applyFont="1" applyBorder="1"/>
    <xf numFmtId="9" fontId="1" fillId="0" borderId="0" xfId="7" applyBorder="1"/>
    <xf numFmtId="9" fontId="1" fillId="0" borderId="6" xfId="7" applyBorder="1"/>
    <xf numFmtId="9" fontId="5" fillId="0" borderId="0" xfId="7" applyFont="1" applyBorder="1"/>
    <xf numFmtId="9" fontId="5" fillId="0" borderId="6" xfId="7" applyFont="1" applyBorder="1"/>
    <xf numFmtId="169" fontId="5" fillId="0" borderId="7" xfId="1" applyNumberFormat="1" applyFont="1" applyBorder="1"/>
    <xf numFmtId="44" fontId="5" fillId="0" borderId="0" xfId="2" applyFont="1" applyBorder="1"/>
    <xf numFmtId="44" fontId="5" fillId="0" borderId="6" xfId="2" applyFont="1" applyBorder="1"/>
    <xf numFmtId="0" fontId="33" fillId="0" borderId="1" xfId="0" applyFont="1" applyBorder="1"/>
    <xf numFmtId="3" fontId="33" fillId="0" borderId="0" xfId="0" applyNumberFormat="1" applyFont="1" applyBorder="1"/>
    <xf numFmtId="42" fontId="33" fillId="0" borderId="3" xfId="0" applyNumberFormat="1" applyFont="1" applyBorder="1"/>
    <xf numFmtId="0" fontId="33" fillId="0" borderId="0" xfId="0" applyFont="1"/>
    <xf numFmtId="0" fontId="34" fillId="0" borderId="8" xfId="0" applyFont="1" applyFill="1" applyBorder="1"/>
    <xf numFmtId="3" fontId="34" fillId="0" borderId="9" xfId="0" applyNumberFormat="1" applyFont="1" applyFill="1" applyBorder="1"/>
    <xf numFmtId="42" fontId="34" fillId="0" borderId="4" xfId="0" applyNumberFormat="1" applyFont="1" applyFill="1" applyBorder="1"/>
    <xf numFmtId="3" fontId="5" fillId="0" borderId="4" xfId="0" applyNumberFormat="1" applyFont="1" applyFill="1" applyBorder="1"/>
    <xf numFmtId="3" fontId="5" fillId="0" borderId="0" xfId="1" applyNumberFormat="1" applyFont="1" applyBorder="1"/>
    <xf numFmtId="167" fontId="5" fillId="0" borderId="0" xfId="2" applyNumberFormat="1" applyFont="1" applyBorder="1"/>
    <xf numFmtId="165" fontId="5" fillId="0" borderId="9" xfId="0" applyNumberFormat="1" applyFont="1" applyBorder="1"/>
    <xf numFmtId="4" fontId="6" fillId="0" borderId="0" xfId="0" applyNumberFormat="1" applyFont="1" applyFill="1" applyBorder="1"/>
    <xf numFmtId="171" fontId="5" fillId="0" borderId="3" xfId="2" applyNumberFormat="1" applyFont="1" applyBorder="1"/>
    <xf numFmtId="175" fontId="5" fillId="0" borderId="9" xfId="0" applyNumberFormat="1" applyFont="1" applyFill="1" applyBorder="1"/>
    <xf numFmtId="171" fontId="5" fillId="0" borderId="4" xfId="2" applyNumberFormat="1" applyFont="1" applyBorder="1"/>
    <xf numFmtId="0" fontId="4" fillId="0" borderId="0" xfId="0" applyFont="1"/>
    <xf numFmtId="0" fontId="31" fillId="0" borderId="0" xfId="0" applyFont="1"/>
    <xf numFmtId="0" fontId="4" fillId="0" borderId="1" xfId="0" applyFont="1" applyBorder="1"/>
    <xf numFmtId="0" fontId="32" fillId="0" borderId="0" xfId="0" applyFont="1" applyFill="1" applyBorder="1"/>
    <xf numFmtId="169" fontId="1" fillId="0" borderId="6" xfId="1" applyNumberFormat="1" applyBorder="1"/>
    <xf numFmtId="1" fontId="5" fillId="0" borderId="7" xfId="0" applyNumberFormat="1" applyFont="1" applyBorder="1"/>
    <xf numFmtId="0" fontId="12" fillId="3" borderId="8" xfId="0" applyFont="1" applyFill="1" applyBorder="1" applyAlignment="1">
      <alignment horizontal="center" vertical="center" wrapText="1"/>
    </xf>
    <xf numFmtId="3" fontId="6" fillId="0" borderId="1" xfId="0" applyNumberFormat="1" applyFont="1" applyFill="1" applyBorder="1" applyAlignment="1">
      <alignment horizontal="left"/>
    </xf>
    <xf numFmtId="3" fontId="6" fillId="0" borderId="0" xfId="0" applyNumberFormat="1" applyFont="1" applyFill="1" applyBorder="1" applyAlignment="1">
      <alignment horizontal="left"/>
    </xf>
    <xf numFmtId="0" fontId="5" fillId="0" borderId="0" xfId="0" applyFont="1" applyFill="1" applyBorder="1" applyAlignment="1">
      <alignment horizontal="left" vertical="top" wrapText="1"/>
    </xf>
    <xf numFmtId="0" fontId="14" fillId="0" borderId="0" xfId="0" quotePrefix="1" applyFont="1" applyAlignment="1">
      <alignment horizontal="left" wrapText="1"/>
    </xf>
    <xf numFmtId="0" fontId="14" fillId="0" borderId="0" xfId="0" applyFont="1" applyFill="1" applyBorder="1" applyAlignment="1">
      <alignment horizontal="left" vertical="top" wrapText="1"/>
    </xf>
    <xf numFmtId="0" fontId="5" fillId="0" borderId="1" xfId="0" applyFont="1" applyFill="1" applyBorder="1" applyAlignment="1">
      <alignment horizontal="left"/>
    </xf>
    <xf numFmtId="0" fontId="5" fillId="0" borderId="0" xfId="0" applyFont="1" applyFill="1" applyBorder="1" applyAlignment="1">
      <alignment horizontal="left"/>
    </xf>
    <xf numFmtId="0" fontId="5" fillId="0" borderId="3" xfId="0" applyFont="1" applyFill="1" applyBorder="1" applyAlignment="1">
      <alignment horizontal="left"/>
    </xf>
    <xf numFmtId="0" fontId="12" fillId="3" borderId="10" xfId="0" applyFont="1" applyFill="1" applyBorder="1" applyAlignment="1">
      <alignment horizontal="left"/>
    </xf>
    <xf numFmtId="0" fontId="12" fillId="3" borderId="11" xfId="0" applyFont="1" applyFill="1" applyBorder="1" applyAlignment="1">
      <alignment horizontal="left"/>
    </xf>
    <xf numFmtId="0" fontId="12" fillId="3" borderId="5" xfId="0" applyFont="1" applyFill="1" applyBorder="1" applyAlignment="1">
      <alignment horizontal="left"/>
    </xf>
    <xf numFmtId="0" fontId="14" fillId="0" borderId="0" xfId="0" applyFont="1" applyBorder="1" applyAlignment="1">
      <alignment vertical="top" wrapText="1"/>
    </xf>
    <xf numFmtId="0" fontId="5" fillId="0" borderId="0" xfId="0" applyFont="1" applyBorder="1" applyAlignment="1">
      <alignment vertical="top" wrapText="1"/>
    </xf>
    <xf numFmtId="0" fontId="5" fillId="0" borderId="0" xfId="0" applyNumberFormat="1" applyFont="1" applyBorder="1" applyAlignment="1">
      <alignment horizontal="left" vertical="top" wrapText="1"/>
    </xf>
    <xf numFmtId="0" fontId="14" fillId="0" borderId="0" xfId="0" applyFont="1" applyBorder="1" applyAlignment="1">
      <alignment vertical="top"/>
    </xf>
    <xf numFmtId="0" fontId="5" fillId="0" borderId="0" xfId="0" applyFont="1" applyBorder="1" applyAlignment="1">
      <alignment vertical="top"/>
    </xf>
    <xf numFmtId="180" fontId="28" fillId="4" borderId="0" xfId="0" applyNumberFormat="1" applyFont="1" applyFill="1" applyBorder="1" applyAlignment="1">
      <alignment horizontal="right" vertical="top" wrapText="1"/>
    </xf>
    <xf numFmtId="0" fontId="0" fillId="0" borderId="0" xfId="0"/>
    <xf numFmtId="3" fontId="28" fillId="4" borderId="0" xfId="0" applyNumberFormat="1" applyFont="1" applyFill="1" applyBorder="1" applyAlignment="1">
      <alignment horizontal="right" vertical="top" wrapText="1"/>
    </xf>
    <xf numFmtId="180" fontId="28" fillId="0" borderId="0" xfId="0" applyNumberFormat="1" applyFont="1" applyBorder="1" applyAlignment="1">
      <alignment horizontal="right" vertical="top" wrapText="1"/>
    </xf>
    <xf numFmtId="3" fontId="28" fillId="0" borderId="0" xfId="0" applyNumberFormat="1" applyFont="1" applyBorder="1" applyAlignment="1">
      <alignment horizontal="right" vertical="top" wrapText="1"/>
    </xf>
    <xf numFmtId="0" fontId="5" fillId="0" borderId="9" xfId="0" applyFont="1" applyFill="1" applyBorder="1" applyAlignment="1">
      <alignment horizontal="left"/>
    </xf>
    <xf numFmtId="0" fontId="5" fillId="0" borderId="4" xfId="0" applyFont="1" applyFill="1" applyBorder="1" applyAlignment="1">
      <alignment horizontal="left"/>
    </xf>
    <xf numFmtId="165" fontId="5" fillId="0" borderId="0" xfId="0" applyNumberFormat="1" applyFont="1"/>
    <xf numFmtId="165" fontId="5" fillId="0" borderId="0" xfId="2" applyNumberFormat="1" applyFont="1"/>
    <xf numFmtId="165" fontId="5" fillId="0" borderId="0" xfId="6" applyNumberFormat="1" applyFont="1" applyBorder="1"/>
    <xf numFmtId="181" fontId="6" fillId="0" borderId="0" xfId="0" applyNumberFormat="1" applyFont="1"/>
    <xf numFmtId="181" fontId="5" fillId="0" borderId="0" xfId="2" applyNumberFormat="1" applyFont="1" applyBorder="1"/>
    <xf numFmtId="181" fontId="5" fillId="0" borderId="0" xfId="0" applyNumberFormat="1" applyFont="1"/>
    <xf numFmtId="181" fontId="5" fillId="0" borderId="0" xfId="2" applyNumberFormat="1" applyFont="1"/>
  </cellXfs>
  <cellStyles count="127">
    <cellStyle name="Comma" xfId="1" builtinId="3"/>
    <cellStyle name="Currency" xfId="2" builtinId="4"/>
    <cellStyle name="Currency 2" xfId="3"/>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cellStyle name="Normal" xfId="0" builtinId="0"/>
    <cellStyle name="Normal 2" xfId="4"/>
    <cellStyle name="Normal 3" xfId="5"/>
    <cellStyle name="Normal_Sources and uses for TIGER" xfId="6"/>
    <cellStyle name="Percent" xfId="7" builtinId="5"/>
    <cellStyle name="Percent 2" xfId="8"/>
  </cellStyles>
  <dxfs count="0"/>
  <tableStyles count="0" defaultTableStyle="TableStyleMedium9" defaultPivotStyle="PivotStyleMedium4"/>
  <colors>
    <mruColors>
      <color rgb="FF1F57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BD53"/>
  <sheetViews>
    <sheetView tabSelected="1" zoomScale="85" zoomScaleNormal="85" workbookViewId="0">
      <selection activeCell="C40" sqref="C40:E43"/>
    </sheetView>
  </sheetViews>
  <sheetFormatPr defaultColWidth="11.42578125" defaultRowHeight="12.75" x14ac:dyDescent="0.2"/>
  <cols>
    <col min="1" max="1" width="31.42578125" style="5" customWidth="1"/>
    <col min="2" max="2" width="29.42578125" style="3" customWidth="1"/>
    <col min="3" max="3" width="13.42578125" style="3" bestFit="1" customWidth="1"/>
    <col min="4" max="4" width="14" style="3" bestFit="1" customWidth="1"/>
    <col min="5" max="5" width="14" style="3" customWidth="1"/>
    <col min="6" max="6" width="2.140625" style="3" customWidth="1"/>
    <col min="7" max="7" width="13.28515625" style="3" customWidth="1"/>
    <col min="8" max="8" width="12.140625" style="3" customWidth="1"/>
    <col min="9" max="10" width="12.85546875" style="3" bestFit="1" customWidth="1"/>
    <col min="11" max="11" width="14.140625" style="3" customWidth="1"/>
    <col min="12" max="50" width="12.7109375" style="3" customWidth="1"/>
    <col min="51" max="54" width="11.42578125" style="3" customWidth="1"/>
    <col min="55" max="55" width="12.7109375" style="3" bestFit="1" customWidth="1"/>
    <col min="56" max="16384" width="11.42578125" style="3"/>
  </cols>
  <sheetData>
    <row r="1" spans="1:56" x14ac:dyDescent="0.2">
      <c r="A1" s="253" t="s">
        <v>98</v>
      </c>
      <c r="B1" s="253" t="s">
        <v>99</v>
      </c>
      <c r="C1" s="253" t="s">
        <v>104</v>
      </c>
      <c r="D1" s="249"/>
      <c r="E1" s="249"/>
      <c r="F1" s="249"/>
      <c r="G1" s="249">
        <v>2014</v>
      </c>
      <c r="H1" s="249">
        <f>G1+1</f>
        <v>2015</v>
      </c>
      <c r="I1" s="249">
        <f>H1+1</f>
        <v>2016</v>
      </c>
      <c r="J1" s="249">
        <f>I1+1</f>
        <v>2017</v>
      </c>
      <c r="K1" s="249">
        <f>J1+1</f>
        <v>2018</v>
      </c>
      <c r="L1" s="249">
        <f>K1+1</f>
        <v>2019</v>
      </c>
      <c r="M1" s="249">
        <f t="shared" ref="M1:AX1" si="0">L1+1</f>
        <v>2020</v>
      </c>
      <c r="N1" s="249">
        <f t="shared" si="0"/>
        <v>2021</v>
      </c>
      <c r="O1" s="249">
        <f t="shared" si="0"/>
        <v>2022</v>
      </c>
      <c r="P1" s="249">
        <f t="shared" si="0"/>
        <v>2023</v>
      </c>
      <c r="Q1" s="249">
        <f t="shared" si="0"/>
        <v>2024</v>
      </c>
      <c r="R1" s="249">
        <f t="shared" si="0"/>
        <v>2025</v>
      </c>
      <c r="S1" s="249">
        <f t="shared" si="0"/>
        <v>2026</v>
      </c>
      <c r="T1" s="249">
        <f t="shared" si="0"/>
        <v>2027</v>
      </c>
      <c r="U1" s="249">
        <f t="shared" si="0"/>
        <v>2028</v>
      </c>
      <c r="V1" s="249">
        <f t="shared" si="0"/>
        <v>2029</v>
      </c>
      <c r="W1" s="249">
        <f t="shared" si="0"/>
        <v>2030</v>
      </c>
      <c r="X1" s="249">
        <f t="shared" si="0"/>
        <v>2031</v>
      </c>
      <c r="Y1" s="249">
        <f t="shared" si="0"/>
        <v>2032</v>
      </c>
      <c r="Z1" s="249">
        <f t="shared" si="0"/>
        <v>2033</v>
      </c>
      <c r="AA1" s="249">
        <f t="shared" si="0"/>
        <v>2034</v>
      </c>
      <c r="AB1" s="249">
        <f t="shared" si="0"/>
        <v>2035</v>
      </c>
      <c r="AC1" s="249">
        <f t="shared" si="0"/>
        <v>2036</v>
      </c>
      <c r="AD1" s="249">
        <f t="shared" si="0"/>
        <v>2037</v>
      </c>
      <c r="AE1" s="249">
        <f t="shared" si="0"/>
        <v>2038</v>
      </c>
      <c r="AF1" s="249">
        <f t="shared" si="0"/>
        <v>2039</v>
      </c>
      <c r="AG1" s="249">
        <f t="shared" si="0"/>
        <v>2040</v>
      </c>
      <c r="AH1" s="249">
        <f t="shared" si="0"/>
        <v>2041</v>
      </c>
      <c r="AI1" s="249">
        <f t="shared" si="0"/>
        <v>2042</v>
      </c>
      <c r="AJ1" s="249">
        <f t="shared" si="0"/>
        <v>2043</v>
      </c>
      <c r="AK1" s="249">
        <f t="shared" si="0"/>
        <v>2044</v>
      </c>
      <c r="AL1" s="249">
        <f t="shared" si="0"/>
        <v>2045</v>
      </c>
      <c r="AM1" s="249">
        <f t="shared" si="0"/>
        <v>2046</v>
      </c>
      <c r="AN1" s="249">
        <f t="shared" si="0"/>
        <v>2047</v>
      </c>
      <c r="AO1" s="249">
        <f t="shared" si="0"/>
        <v>2048</v>
      </c>
      <c r="AP1" s="249">
        <f t="shared" si="0"/>
        <v>2049</v>
      </c>
      <c r="AQ1" s="249">
        <f t="shared" si="0"/>
        <v>2050</v>
      </c>
      <c r="AR1" s="249">
        <f t="shared" si="0"/>
        <v>2051</v>
      </c>
      <c r="AS1" s="249">
        <f t="shared" si="0"/>
        <v>2052</v>
      </c>
      <c r="AT1" s="249">
        <f t="shared" si="0"/>
        <v>2053</v>
      </c>
      <c r="AU1" s="249">
        <f t="shared" si="0"/>
        <v>2054</v>
      </c>
      <c r="AV1" s="249">
        <f t="shared" si="0"/>
        <v>2055</v>
      </c>
      <c r="AW1" s="249">
        <f t="shared" si="0"/>
        <v>2056</v>
      </c>
      <c r="AX1" s="249">
        <f t="shared" si="0"/>
        <v>2057</v>
      </c>
    </row>
    <row r="2" spans="1:56" x14ac:dyDescent="0.2">
      <c r="A2" s="5" t="s">
        <v>188</v>
      </c>
      <c r="B2" s="5" t="s">
        <v>31</v>
      </c>
      <c r="C2" s="6" t="s">
        <v>349</v>
      </c>
      <c r="G2" s="10">
        <v>0</v>
      </c>
      <c r="H2" s="10">
        <v>0</v>
      </c>
      <c r="I2" s="10">
        <v>0</v>
      </c>
      <c r="J2" s="22">
        <f t="shared" ref="J2:J12" si="1">K2*(J$39/12)</f>
        <v>18321.568410810811</v>
      </c>
      <c r="K2" s="10">
        <f>'2-Reduced Local Traffic'!$F$16</f>
        <v>54964.705232432432</v>
      </c>
      <c r="L2" s="10">
        <f t="shared" ref="L2:L7" si="2">K2</f>
        <v>54964.705232432432</v>
      </c>
      <c r="M2" s="10">
        <f t="shared" ref="M2:AX2" si="3">L2</f>
        <v>54964.705232432432</v>
      </c>
      <c r="N2" s="10">
        <f t="shared" si="3"/>
        <v>54964.705232432432</v>
      </c>
      <c r="O2" s="10">
        <f t="shared" si="3"/>
        <v>54964.705232432432</v>
      </c>
      <c r="P2" s="10">
        <f t="shared" si="3"/>
        <v>54964.705232432432</v>
      </c>
      <c r="Q2" s="10">
        <f t="shared" si="3"/>
        <v>54964.705232432432</v>
      </c>
      <c r="R2" s="10">
        <f t="shared" si="3"/>
        <v>54964.705232432432</v>
      </c>
      <c r="S2" s="10">
        <f t="shared" si="3"/>
        <v>54964.705232432432</v>
      </c>
      <c r="T2" s="10">
        <f t="shared" si="3"/>
        <v>54964.705232432432</v>
      </c>
      <c r="U2" s="10">
        <f t="shared" si="3"/>
        <v>54964.705232432432</v>
      </c>
      <c r="V2" s="10">
        <f t="shared" si="3"/>
        <v>54964.705232432432</v>
      </c>
      <c r="W2" s="10">
        <f t="shared" si="3"/>
        <v>54964.705232432432</v>
      </c>
      <c r="X2" s="10">
        <f t="shared" si="3"/>
        <v>54964.705232432432</v>
      </c>
      <c r="Y2" s="10">
        <f t="shared" si="3"/>
        <v>54964.705232432432</v>
      </c>
      <c r="Z2" s="10">
        <f t="shared" si="3"/>
        <v>54964.705232432432</v>
      </c>
      <c r="AA2" s="10">
        <f t="shared" si="3"/>
        <v>54964.705232432432</v>
      </c>
      <c r="AB2" s="10">
        <f t="shared" si="3"/>
        <v>54964.705232432432</v>
      </c>
      <c r="AC2" s="10">
        <f t="shared" si="3"/>
        <v>54964.705232432432</v>
      </c>
      <c r="AD2" s="10">
        <f t="shared" si="3"/>
        <v>54964.705232432432</v>
      </c>
      <c r="AE2" s="10">
        <f t="shared" si="3"/>
        <v>54964.705232432432</v>
      </c>
      <c r="AF2" s="10">
        <f t="shared" si="3"/>
        <v>54964.705232432432</v>
      </c>
      <c r="AG2" s="10">
        <f t="shared" si="3"/>
        <v>54964.705232432432</v>
      </c>
      <c r="AH2" s="10">
        <f t="shared" si="3"/>
        <v>54964.705232432432</v>
      </c>
      <c r="AI2" s="10">
        <f t="shared" si="3"/>
        <v>54964.705232432432</v>
      </c>
      <c r="AJ2" s="10">
        <f t="shared" si="3"/>
        <v>54964.705232432432</v>
      </c>
      <c r="AK2" s="10">
        <f t="shared" si="3"/>
        <v>54964.705232432432</v>
      </c>
      <c r="AL2" s="10">
        <f t="shared" si="3"/>
        <v>54964.705232432432</v>
      </c>
      <c r="AM2" s="10">
        <f t="shared" si="3"/>
        <v>54964.705232432432</v>
      </c>
      <c r="AN2" s="10">
        <f t="shared" si="3"/>
        <v>54964.705232432432</v>
      </c>
      <c r="AO2" s="10">
        <f t="shared" si="3"/>
        <v>54964.705232432432</v>
      </c>
      <c r="AP2" s="10">
        <f t="shared" si="3"/>
        <v>54964.705232432432</v>
      </c>
      <c r="AQ2" s="10">
        <f t="shared" si="3"/>
        <v>54964.705232432432</v>
      </c>
      <c r="AR2" s="10">
        <f t="shared" si="3"/>
        <v>54964.705232432432</v>
      </c>
      <c r="AS2" s="10">
        <f t="shared" si="3"/>
        <v>54964.705232432432</v>
      </c>
      <c r="AT2" s="10">
        <f t="shared" si="3"/>
        <v>54964.705232432432</v>
      </c>
      <c r="AU2" s="10">
        <f t="shared" si="3"/>
        <v>54964.705232432432</v>
      </c>
      <c r="AV2" s="10">
        <f t="shared" si="3"/>
        <v>54964.705232432432</v>
      </c>
      <c r="AW2" s="10">
        <f t="shared" si="3"/>
        <v>54964.705232432432</v>
      </c>
      <c r="AX2" s="10">
        <f t="shared" si="3"/>
        <v>54964.705232432432</v>
      </c>
    </row>
    <row r="3" spans="1:56" x14ac:dyDescent="0.2">
      <c r="A3" s="5" t="s">
        <v>189</v>
      </c>
      <c r="B3" s="5" t="s">
        <v>30</v>
      </c>
      <c r="C3" s="6" t="s">
        <v>349</v>
      </c>
      <c r="G3" s="10">
        <v>0</v>
      </c>
      <c r="H3" s="10">
        <v>0</v>
      </c>
      <c r="I3" s="10">
        <v>0</v>
      </c>
      <c r="J3" s="22">
        <f t="shared" si="1"/>
        <v>10066.878119999998</v>
      </c>
      <c r="K3" s="10">
        <f>'2-Reduced Local Traffic'!$D$24</f>
        <v>30200.634359999996</v>
      </c>
      <c r="L3" s="10">
        <f t="shared" si="2"/>
        <v>30200.634359999996</v>
      </c>
      <c r="M3" s="10">
        <f t="shared" ref="M3:AX3" si="4">L3</f>
        <v>30200.634359999996</v>
      </c>
      <c r="N3" s="10">
        <f t="shared" si="4"/>
        <v>30200.634359999996</v>
      </c>
      <c r="O3" s="10">
        <f t="shared" si="4"/>
        <v>30200.634359999996</v>
      </c>
      <c r="P3" s="10">
        <f t="shared" si="4"/>
        <v>30200.634359999996</v>
      </c>
      <c r="Q3" s="10">
        <f t="shared" si="4"/>
        <v>30200.634359999996</v>
      </c>
      <c r="R3" s="10">
        <f t="shared" si="4"/>
        <v>30200.634359999996</v>
      </c>
      <c r="S3" s="10">
        <f t="shared" si="4"/>
        <v>30200.634359999996</v>
      </c>
      <c r="T3" s="10">
        <f t="shared" si="4"/>
        <v>30200.634359999996</v>
      </c>
      <c r="U3" s="10">
        <f t="shared" si="4"/>
        <v>30200.634359999996</v>
      </c>
      <c r="V3" s="10">
        <f t="shared" si="4"/>
        <v>30200.634359999996</v>
      </c>
      <c r="W3" s="10">
        <f t="shared" si="4"/>
        <v>30200.634359999996</v>
      </c>
      <c r="X3" s="10">
        <f t="shared" si="4"/>
        <v>30200.634359999996</v>
      </c>
      <c r="Y3" s="10">
        <f t="shared" si="4"/>
        <v>30200.634359999996</v>
      </c>
      <c r="Z3" s="10">
        <f t="shared" si="4"/>
        <v>30200.634359999996</v>
      </c>
      <c r="AA3" s="10">
        <f t="shared" si="4"/>
        <v>30200.634359999996</v>
      </c>
      <c r="AB3" s="10">
        <f t="shared" si="4"/>
        <v>30200.634359999996</v>
      </c>
      <c r="AC3" s="10">
        <f t="shared" si="4"/>
        <v>30200.634359999996</v>
      </c>
      <c r="AD3" s="10">
        <f t="shared" si="4"/>
        <v>30200.634359999996</v>
      </c>
      <c r="AE3" s="10">
        <f t="shared" si="4"/>
        <v>30200.634359999996</v>
      </c>
      <c r="AF3" s="10">
        <f t="shared" si="4"/>
        <v>30200.634359999996</v>
      </c>
      <c r="AG3" s="10">
        <f t="shared" si="4"/>
        <v>30200.634359999996</v>
      </c>
      <c r="AH3" s="10">
        <f t="shared" si="4"/>
        <v>30200.634359999996</v>
      </c>
      <c r="AI3" s="10">
        <f t="shared" si="4"/>
        <v>30200.634359999996</v>
      </c>
      <c r="AJ3" s="10">
        <f t="shared" si="4"/>
        <v>30200.634359999996</v>
      </c>
      <c r="AK3" s="10">
        <f t="shared" si="4"/>
        <v>30200.634359999996</v>
      </c>
      <c r="AL3" s="10">
        <f t="shared" si="4"/>
        <v>30200.634359999996</v>
      </c>
      <c r="AM3" s="10">
        <f t="shared" si="4"/>
        <v>30200.634359999996</v>
      </c>
      <c r="AN3" s="10">
        <f t="shared" si="4"/>
        <v>30200.634359999996</v>
      </c>
      <c r="AO3" s="10">
        <f t="shared" si="4"/>
        <v>30200.634359999996</v>
      </c>
      <c r="AP3" s="10">
        <f t="shared" si="4"/>
        <v>30200.634359999996</v>
      </c>
      <c r="AQ3" s="10">
        <f t="shared" si="4"/>
        <v>30200.634359999996</v>
      </c>
      <c r="AR3" s="10">
        <f t="shared" si="4"/>
        <v>30200.634359999996</v>
      </c>
      <c r="AS3" s="10">
        <f t="shared" si="4"/>
        <v>30200.634359999996</v>
      </c>
      <c r="AT3" s="10">
        <f t="shared" si="4"/>
        <v>30200.634359999996</v>
      </c>
      <c r="AU3" s="10">
        <f t="shared" si="4"/>
        <v>30200.634359999996</v>
      </c>
      <c r="AV3" s="10">
        <f t="shared" si="4"/>
        <v>30200.634359999996</v>
      </c>
      <c r="AW3" s="10">
        <f t="shared" si="4"/>
        <v>30200.634359999996</v>
      </c>
      <c r="AX3" s="10">
        <f t="shared" si="4"/>
        <v>30200.634359999996</v>
      </c>
    </row>
    <row r="4" spans="1:56" x14ac:dyDescent="0.2">
      <c r="A4" s="5" t="s">
        <v>190</v>
      </c>
      <c r="B4" s="5" t="s">
        <v>31</v>
      </c>
      <c r="C4" s="3" t="s">
        <v>348</v>
      </c>
      <c r="G4" s="10">
        <v>0</v>
      </c>
      <c r="H4" s="10">
        <v>0</v>
      </c>
      <c r="I4" s="10">
        <v>0</v>
      </c>
      <c r="J4" s="22">
        <f t="shared" si="1"/>
        <v>29064.479964000908</v>
      </c>
      <c r="K4" s="10">
        <f>'3-Reduced Oil Imports'!$C$21</f>
        <v>87193.439892002731</v>
      </c>
      <c r="L4" s="10">
        <f t="shared" si="2"/>
        <v>87193.439892002731</v>
      </c>
      <c r="M4" s="10">
        <f t="shared" ref="M4:AX4" si="5">L4</f>
        <v>87193.439892002731</v>
      </c>
      <c r="N4" s="10">
        <f t="shared" si="5"/>
        <v>87193.439892002731</v>
      </c>
      <c r="O4" s="10">
        <f t="shared" si="5"/>
        <v>87193.439892002731</v>
      </c>
      <c r="P4" s="10">
        <f t="shared" si="5"/>
        <v>87193.439892002731</v>
      </c>
      <c r="Q4" s="10">
        <f t="shared" si="5"/>
        <v>87193.439892002731</v>
      </c>
      <c r="R4" s="10">
        <f t="shared" si="5"/>
        <v>87193.439892002731</v>
      </c>
      <c r="S4" s="10">
        <f t="shared" si="5"/>
        <v>87193.439892002731</v>
      </c>
      <c r="T4" s="10">
        <f t="shared" si="5"/>
        <v>87193.439892002731</v>
      </c>
      <c r="U4" s="10">
        <f t="shared" si="5"/>
        <v>87193.439892002731</v>
      </c>
      <c r="V4" s="10">
        <f t="shared" si="5"/>
        <v>87193.439892002731</v>
      </c>
      <c r="W4" s="10">
        <f t="shared" si="5"/>
        <v>87193.439892002731</v>
      </c>
      <c r="X4" s="10">
        <f t="shared" si="5"/>
        <v>87193.439892002731</v>
      </c>
      <c r="Y4" s="10">
        <f t="shared" si="5"/>
        <v>87193.439892002731</v>
      </c>
      <c r="Z4" s="10">
        <f t="shared" si="5"/>
        <v>87193.439892002731</v>
      </c>
      <c r="AA4" s="10">
        <f t="shared" si="5"/>
        <v>87193.439892002731</v>
      </c>
      <c r="AB4" s="10">
        <f t="shared" si="5"/>
        <v>87193.439892002731</v>
      </c>
      <c r="AC4" s="10">
        <f t="shared" si="5"/>
        <v>87193.439892002731</v>
      </c>
      <c r="AD4" s="10">
        <f t="shared" si="5"/>
        <v>87193.439892002731</v>
      </c>
      <c r="AE4" s="10">
        <f t="shared" si="5"/>
        <v>87193.439892002731</v>
      </c>
      <c r="AF4" s="10">
        <f t="shared" si="5"/>
        <v>87193.439892002731</v>
      </c>
      <c r="AG4" s="10">
        <f t="shared" si="5"/>
        <v>87193.439892002731</v>
      </c>
      <c r="AH4" s="10">
        <f t="shared" si="5"/>
        <v>87193.439892002731</v>
      </c>
      <c r="AI4" s="10">
        <f t="shared" si="5"/>
        <v>87193.439892002731</v>
      </c>
      <c r="AJ4" s="10">
        <f t="shared" si="5"/>
        <v>87193.439892002731</v>
      </c>
      <c r="AK4" s="10">
        <f t="shared" si="5"/>
        <v>87193.439892002731</v>
      </c>
      <c r="AL4" s="10">
        <f t="shared" si="5"/>
        <v>87193.439892002731</v>
      </c>
      <c r="AM4" s="10">
        <f t="shared" si="5"/>
        <v>87193.439892002731</v>
      </c>
      <c r="AN4" s="10">
        <f t="shared" si="5"/>
        <v>87193.439892002731</v>
      </c>
      <c r="AO4" s="10">
        <f t="shared" si="5"/>
        <v>87193.439892002731</v>
      </c>
      <c r="AP4" s="10">
        <f t="shared" si="5"/>
        <v>87193.439892002731</v>
      </c>
      <c r="AQ4" s="10">
        <f t="shared" si="5"/>
        <v>87193.439892002731</v>
      </c>
      <c r="AR4" s="10">
        <f t="shared" si="5"/>
        <v>87193.439892002731</v>
      </c>
      <c r="AS4" s="10">
        <f t="shared" si="5"/>
        <v>87193.439892002731</v>
      </c>
      <c r="AT4" s="10">
        <f t="shared" si="5"/>
        <v>87193.439892002731</v>
      </c>
      <c r="AU4" s="10">
        <f t="shared" si="5"/>
        <v>87193.439892002731</v>
      </c>
      <c r="AV4" s="10">
        <f t="shared" si="5"/>
        <v>87193.439892002731</v>
      </c>
      <c r="AW4" s="10">
        <f t="shared" si="5"/>
        <v>87193.439892002731</v>
      </c>
      <c r="AX4" s="10">
        <f t="shared" si="5"/>
        <v>87193.439892002731</v>
      </c>
    </row>
    <row r="5" spans="1:56" x14ac:dyDescent="0.2">
      <c r="A5" s="5" t="s">
        <v>326</v>
      </c>
      <c r="B5" s="5" t="s">
        <v>377</v>
      </c>
      <c r="C5" s="5" t="s">
        <v>342</v>
      </c>
      <c r="D5" s="5"/>
      <c r="E5" s="5"/>
      <c r="F5" s="5"/>
      <c r="G5" s="10">
        <v>0</v>
      </c>
      <c r="H5" s="10">
        <v>0</v>
      </c>
      <c r="I5" s="10">
        <v>0</v>
      </c>
      <c r="J5" s="22">
        <f t="shared" si="1"/>
        <v>163799.15301605349</v>
      </c>
      <c r="K5" s="10">
        <f>'4-Recreational Benefits'!C24</f>
        <v>491397.45904816053</v>
      </c>
      <c r="L5" s="10">
        <f t="shared" si="2"/>
        <v>491397.45904816053</v>
      </c>
      <c r="M5" s="10">
        <f t="shared" ref="M5:AX7" si="6">L5</f>
        <v>491397.45904816053</v>
      </c>
      <c r="N5" s="10">
        <f t="shared" si="6"/>
        <v>491397.45904816053</v>
      </c>
      <c r="O5" s="10">
        <f t="shared" si="6"/>
        <v>491397.45904816053</v>
      </c>
      <c r="P5" s="10">
        <f t="shared" si="6"/>
        <v>491397.45904816053</v>
      </c>
      <c r="Q5" s="10">
        <f t="shared" si="6"/>
        <v>491397.45904816053</v>
      </c>
      <c r="R5" s="10">
        <f t="shared" si="6"/>
        <v>491397.45904816053</v>
      </c>
      <c r="S5" s="10">
        <f t="shared" si="6"/>
        <v>491397.45904816053</v>
      </c>
      <c r="T5" s="10">
        <f t="shared" si="6"/>
        <v>491397.45904816053</v>
      </c>
      <c r="U5" s="10">
        <f t="shared" si="6"/>
        <v>491397.45904816053</v>
      </c>
      <c r="V5" s="10">
        <f t="shared" si="6"/>
        <v>491397.45904816053</v>
      </c>
      <c r="W5" s="10">
        <f t="shared" si="6"/>
        <v>491397.45904816053</v>
      </c>
      <c r="X5" s="10">
        <f t="shared" si="6"/>
        <v>491397.45904816053</v>
      </c>
      <c r="Y5" s="10">
        <f t="shared" si="6"/>
        <v>491397.45904816053</v>
      </c>
      <c r="Z5" s="10">
        <f t="shared" si="6"/>
        <v>491397.45904816053</v>
      </c>
      <c r="AA5" s="10">
        <f t="shared" si="6"/>
        <v>491397.45904816053</v>
      </c>
      <c r="AB5" s="10">
        <f t="shared" si="6"/>
        <v>491397.45904816053</v>
      </c>
      <c r="AC5" s="10">
        <f t="shared" si="6"/>
        <v>491397.45904816053</v>
      </c>
      <c r="AD5" s="10">
        <f t="shared" si="6"/>
        <v>491397.45904816053</v>
      </c>
      <c r="AE5" s="10">
        <f t="shared" si="6"/>
        <v>491397.45904816053</v>
      </c>
      <c r="AF5" s="10">
        <f t="shared" si="6"/>
        <v>491397.45904816053</v>
      </c>
      <c r="AG5" s="10">
        <f t="shared" si="6"/>
        <v>491397.45904816053</v>
      </c>
      <c r="AH5" s="10">
        <f t="shared" si="6"/>
        <v>491397.45904816053</v>
      </c>
      <c r="AI5" s="10">
        <f t="shared" si="6"/>
        <v>491397.45904816053</v>
      </c>
      <c r="AJ5" s="10">
        <f t="shared" si="6"/>
        <v>491397.45904816053</v>
      </c>
      <c r="AK5" s="10">
        <f t="shared" si="6"/>
        <v>491397.45904816053</v>
      </c>
      <c r="AL5" s="10">
        <f t="shared" si="6"/>
        <v>491397.45904816053</v>
      </c>
      <c r="AM5" s="10">
        <f t="shared" si="6"/>
        <v>491397.45904816053</v>
      </c>
      <c r="AN5" s="10">
        <f t="shared" si="6"/>
        <v>491397.45904816053</v>
      </c>
      <c r="AO5" s="10">
        <f t="shared" si="6"/>
        <v>491397.45904816053</v>
      </c>
      <c r="AP5" s="10">
        <f t="shared" si="6"/>
        <v>491397.45904816053</v>
      </c>
      <c r="AQ5" s="10">
        <f t="shared" si="6"/>
        <v>491397.45904816053</v>
      </c>
      <c r="AR5" s="10">
        <f t="shared" si="6"/>
        <v>491397.45904816053</v>
      </c>
      <c r="AS5" s="10">
        <f t="shared" si="6"/>
        <v>491397.45904816053</v>
      </c>
      <c r="AT5" s="10">
        <f t="shared" si="6"/>
        <v>491397.45904816053</v>
      </c>
      <c r="AU5" s="10">
        <f t="shared" si="6"/>
        <v>491397.45904816053</v>
      </c>
      <c r="AV5" s="10">
        <f t="shared" si="6"/>
        <v>491397.45904816053</v>
      </c>
      <c r="AW5" s="10">
        <f t="shared" si="6"/>
        <v>491397.45904816053</v>
      </c>
      <c r="AX5" s="10">
        <f t="shared" si="6"/>
        <v>491397.45904816053</v>
      </c>
    </row>
    <row r="6" spans="1:56" x14ac:dyDescent="0.2">
      <c r="A6" s="5" t="s">
        <v>327</v>
      </c>
      <c r="B6" s="5" t="s">
        <v>377</v>
      </c>
      <c r="C6" s="5" t="s">
        <v>343</v>
      </c>
      <c r="D6" s="5"/>
      <c r="E6" s="5"/>
      <c r="F6" s="5"/>
      <c r="G6" s="10">
        <v>0</v>
      </c>
      <c r="H6" s="10">
        <v>0</v>
      </c>
      <c r="I6" s="10">
        <v>0</v>
      </c>
      <c r="J6" s="22">
        <f t="shared" si="1"/>
        <v>121562.45964000003</v>
      </c>
      <c r="K6" s="10">
        <f>'5-Increased Exercise Benefits'!D26</f>
        <v>364687.3789200001</v>
      </c>
      <c r="L6" s="10">
        <f t="shared" si="2"/>
        <v>364687.3789200001</v>
      </c>
      <c r="M6" s="10">
        <f t="shared" si="6"/>
        <v>364687.3789200001</v>
      </c>
      <c r="N6" s="10">
        <f t="shared" si="6"/>
        <v>364687.3789200001</v>
      </c>
      <c r="O6" s="10">
        <f t="shared" si="6"/>
        <v>364687.3789200001</v>
      </c>
      <c r="P6" s="10">
        <f t="shared" si="6"/>
        <v>364687.3789200001</v>
      </c>
      <c r="Q6" s="10">
        <f t="shared" si="6"/>
        <v>364687.3789200001</v>
      </c>
      <c r="R6" s="10">
        <f t="shared" si="6"/>
        <v>364687.3789200001</v>
      </c>
      <c r="S6" s="10">
        <f t="shared" si="6"/>
        <v>364687.3789200001</v>
      </c>
      <c r="T6" s="10">
        <f t="shared" si="6"/>
        <v>364687.3789200001</v>
      </c>
      <c r="U6" s="10">
        <f t="shared" si="6"/>
        <v>364687.3789200001</v>
      </c>
      <c r="V6" s="10">
        <f t="shared" si="6"/>
        <v>364687.3789200001</v>
      </c>
      <c r="W6" s="10">
        <f t="shared" si="6"/>
        <v>364687.3789200001</v>
      </c>
      <c r="X6" s="10">
        <f t="shared" si="6"/>
        <v>364687.3789200001</v>
      </c>
      <c r="Y6" s="10">
        <f t="shared" si="6"/>
        <v>364687.3789200001</v>
      </c>
      <c r="Z6" s="10">
        <f t="shared" si="6"/>
        <v>364687.3789200001</v>
      </c>
      <c r="AA6" s="10">
        <f t="shared" si="6"/>
        <v>364687.3789200001</v>
      </c>
      <c r="AB6" s="10">
        <f t="shared" si="6"/>
        <v>364687.3789200001</v>
      </c>
      <c r="AC6" s="10">
        <f t="shared" si="6"/>
        <v>364687.3789200001</v>
      </c>
      <c r="AD6" s="10">
        <f t="shared" si="6"/>
        <v>364687.3789200001</v>
      </c>
      <c r="AE6" s="10">
        <f t="shared" si="6"/>
        <v>364687.3789200001</v>
      </c>
      <c r="AF6" s="10">
        <f t="shared" si="6"/>
        <v>364687.3789200001</v>
      </c>
      <c r="AG6" s="10">
        <f t="shared" si="6"/>
        <v>364687.3789200001</v>
      </c>
      <c r="AH6" s="10">
        <f t="shared" si="6"/>
        <v>364687.3789200001</v>
      </c>
      <c r="AI6" s="10">
        <f t="shared" si="6"/>
        <v>364687.3789200001</v>
      </c>
      <c r="AJ6" s="10">
        <f t="shared" si="6"/>
        <v>364687.3789200001</v>
      </c>
      <c r="AK6" s="10">
        <f t="shared" si="6"/>
        <v>364687.3789200001</v>
      </c>
      <c r="AL6" s="10">
        <f t="shared" si="6"/>
        <v>364687.3789200001</v>
      </c>
      <c r="AM6" s="10">
        <f t="shared" si="6"/>
        <v>364687.3789200001</v>
      </c>
      <c r="AN6" s="10">
        <f t="shared" si="6"/>
        <v>364687.3789200001</v>
      </c>
      <c r="AO6" s="10">
        <f t="shared" si="6"/>
        <v>364687.3789200001</v>
      </c>
      <c r="AP6" s="10">
        <f t="shared" si="6"/>
        <v>364687.3789200001</v>
      </c>
      <c r="AQ6" s="10">
        <f t="shared" si="6"/>
        <v>364687.3789200001</v>
      </c>
      <c r="AR6" s="10">
        <f t="shared" si="6"/>
        <v>364687.3789200001</v>
      </c>
      <c r="AS6" s="10">
        <f t="shared" si="6"/>
        <v>364687.3789200001</v>
      </c>
      <c r="AT6" s="10">
        <f t="shared" si="6"/>
        <v>364687.3789200001</v>
      </c>
      <c r="AU6" s="10">
        <f t="shared" si="6"/>
        <v>364687.3789200001</v>
      </c>
      <c r="AV6" s="10">
        <f t="shared" si="6"/>
        <v>364687.3789200001</v>
      </c>
      <c r="AW6" s="10">
        <f t="shared" si="6"/>
        <v>364687.3789200001</v>
      </c>
      <c r="AX6" s="10">
        <f t="shared" si="6"/>
        <v>364687.3789200001</v>
      </c>
    </row>
    <row r="7" spans="1:56" x14ac:dyDescent="0.2">
      <c r="A7" s="5" t="s">
        <v>328</v>
      </c>
      <c r="B7" s="5" t="s">
        <v>32</v>
      </c>
      <c r="C7" s="5" t="s">
        <v>344</v>
      </c>
      <c r="D7" s="5"/>
      <c r="E7" s="5"/>
      <c r="F7" s="5"/>
      <c r="G7" s="10">
        <v>0</v>
      </c>
      <c r="H7" s="10">
        <v>0</v>
      </c>
      <c r="I7" s="10">
        <v>0</v>
      </c>
      <c r="J7" s="22">
        <f t="shared" si="1"/>
        <v>24909.397333333331</v>
      </c>
      <c r="K7" s="307">
        <f>'6-Stormwater Benefits'!B14</f>
        <v>74728.191999999995</v>
      </c>
      <c r="L7" s="307">
        <f t="shared" si="2"/>
        <v>74728.191999999995</v>
      </c>
      <c r="M7" s="10">
        <f t="shared" si="6"/>
        <v>74728.191999999995</v>
      </c>
      <c r="N7" s="10">
        <f t="shared" si="6"/>
        <v>74728.191999999995</v>
      </c>
      <c r="O7" s="10">
        <f t="shared" si="6"/>
        <v>74728.191999999995</v>
      </c>
      <c r="P7" s="10">
        <f t="shared" si="6"/>
        <v>74728.191999999995</v>
      </c>
      <c r="Q7" s="10">
        <f t="shared" si="6"/>
        <v>74728.191999999995</v>
      </c>
      <c r="R7" s="10">
        <f t="shared" si="6"/>
        <v>74728.191999999995</v>
      </c>
      <c r="S7" s="10">
        <f t="shared" si="6"/>
        <v>74728.191999999995</v>
      </c>
      <c r="T7" s="10">
        <f t="shared" si="6"/>
        <v>74728.191999999995</v>
      </c>
      <c r="U7" s="10">
        <f t="shared" si="6"/>
        <v>74728.191999999995</v>
      </c>
      <c r="V7" s="10">
        <f t="shared" si="6"/>
        <v>74728.191999999995</v>
      </c>
      <c r="W7" s="10">
        <f t="shared" si="6"/>
        <v>74728.191999999995</v>
      </c>
      <c r="X7" s="10">
        <f t="shared" si="6"/>
        <v>74728.191999999995</v>
      </c>
      <c r="Y7" s="10">
        <f t="shared" si="6"/>
        <v>74728.191999999995</v>
      </c>
      <c r="Z7" s="10">
        <f t="shared" si="6"/>
        <v>74728.191999999995</v>
      </c>
      <c r="AA7" s="10">
        <f t="shared" si="6"/>
        <v>74728.191999999995</v>
      </c>
      <c r="AB7" s="10">
        <f t="shared" si="6"/>
        <v>74728.191999999995</v>
      </c>
      <c r="AC7" s="10">
        <f t="shared" si="6"/>
        <v>74728.191999999995</v>
      </c>
      <c r="AD7" s="10">
        <f t="shared" si="6"/>
        <v>74728.191999999995</v>
      </c>
      <c r="AE7" s="10">
        <f t="shared" si="6"/>
        <v>74728.191999999995</v>
      </c>
      <c r="AF7" s="10">
        <f t="shared" si="6"/>
        <v>74728.191999999995</v>
      </c>
      <c r="AG7" s="10">
        <f t="shared" si="6"/>
        <v>74728.191999999995</v>
      </c>
      <c r="AH7" s="10">
        <f t="shared" si="6"/>
        <v>74728.191999999995</v>
      </c>
      <c r="AI7" s="10">
        <f t="shared" si="6"/>
        <v>74728.191999999995</v>
      </c>
      <c r="AJ7" s="10">
        <f t="shared" si="6"/>
        <v>74728.191999999995</v>
      </c>
      <c r="AK7" s="10">
        <f t="shared" si="6"/>
        <v>74728.191999999995</v>
      </c>
      <c r="AL7" s="10">
        <f t="shared" si="6"/>
        <v>74728.191999999995</v>
      </c>
      <c r="AM7" s="10">
        <f t="shared" si="6"/>
        <v>74728.191999999995</v>
      </c>
      <c r="AN7" s="10">
        <f t="shared" si="6"/>
        <v>74728.191999999995</v>
      </c>
      <c r="AO7" s="10">
        <f t="shared" si="6"/>
        <v>74728.191999999995</v>
      </c>
      <c r="AP7" s="10">
        <f t="shared" si="6"/>
        <v>74728.191999999995</v>
      </c>
      <c r="AQ7" s="10">
        <f t="shared" si="6"/>
        <v>74728.191999999995</v>
      </c>
      <c r="AR7" s="10">
        <f t="shared" si="6"/>
        <v>74728.191999999995</v>
      </c>
      <c r="AS7" s="10">
        <f t="shared" si="6"/>
        <v>74728.191999999995</v>
      </c>
      <c r="AT7" s="10">
        <f t="shared" si="6"/>
        <v>74728.191999999995</v>
      </c>
      <c r="AU7" s="10">
        <f t="shared" si="6"/>
        <v>74728.191999999995</v>
      </c>
      <c r="AV7" s="10">
        <f t="shared" si="6"/>
        <v>74728.191999999995</v>
      </c>
      <c r="AW7" s="10">
        <f t="shared" si="6"/>
        <v>74728.191999999995</v>
      </c>
      <c r="AX7" s="10">
        <f t="shared" si="6"/>
        <v>74728.191999999995</v>
      </c>
    </row>
    <row r="8" spans="1:56" x14ac:dyDescent="0.2">
      <c r="A8" s="5" t="s">
        <v>21</v>
      </c>
      <c r="B8" s="5" t="s">
        <v>377</v>
      </c>
      <c r="C8" s="3" t="s">
        <v>347</v>
      </c>
      <c r="D8" s="5"/>
      <c r="E8" s="5" t="s">
        <v>301</v>
      </c>
      <c r="F8" s="5"/>
      <c r="G8" s="10">
        <v>0</v>
      </c>
      <c r="H8" s="10">
        <v>0</v>
      </c>
      <c r="I8" s="10">
        <v>0</v>
      </c>
      <c r="J8" s="22">
        <f t="shared" si="1"/>
        <v>100380</v>
      </c>
      <c r="K8" s="10">
        <f>'7-Imp Exp and Existence Value'!$B$32</f>
        <v>301140</v>
      </c>
      <c r="L8" s="10">
        <f t="shared" ref="L8:L12" si="7">K8</f>
        <v>301140</v>
      </c>
      <c r="M8" s="10">
        <f t="shared" ref="M8:AX9" si="8">L8</f>
        <v>301140</v>
      </c>
      <c r="N8" s="10">
        <f t="shared" si="8"/>
        <v>301140</v>
      </c>
      <c r="O8" s="10">
        <f t="shared" si="8"/>
        <v>301140</v>
      </c>
      <c r="P8" s="10">
        <f t="shared" si="8"/>
        <v>301140</v>
      </c>
      <c r="Q8" s="10">
        <f t="shared" si="8"/>
        <v>301140</v>
      </c>
      <c r="R8" s="10">
        <f t="shared" si="8"/>
        <v>301140</v>
      </c>
      <c r="S8" s="10">
        <f t="shared" si="8"/>
        <v>301140</v>
      </c>
      <c r="T8" s="10">
        <f t="shared" si="8"/>
        <v>301140</v>
      </c>
      <c r="U8" s="10">
        <f t="shared" si="8"/>
        <v>301140</v>
      </c>
      <c r="V8" s="10">
        <f t="shared" si="8"/>
        <v>301140</v>
      </c>
      <c r="W8" s="10">
        <f t="shared" si="8"/>
        <v>301140</v>
      </c>
      <c r="X8" s="10">
        <f t="shared" si="8"/>
        <v>301140</v>
      </c>
      <c r="Y8" s="10">
        <f t="shared" si="8"/>
        <v>301140</v>
      </c>
      <c r="Z8" s="10">
        <f t="shared" si="8"/>
        <v>301140</v>
      </c>
      <c r="AA8" s="10">
        <f t="shared" si="8"/>
        <v>301140</v>
      </c>
      <c r="AB8" s="10">
        <f t="shared" si="8"/>
        <v>301140</v>
      </c>
      <c r="AC8" s="10">
        <f t="shared" si="8"/>
        <v>301140</v>
      </c>
      <c r="AD8" s="10">
        <f t="shared" si="8"/>
        <v>301140</v>
      </c>
      <c r="AE8" s="10">
        <f t="shared" si="8"/>
        <v>301140</v>
      </c>
      <c r="AF8" s="10">
        <f t="shared" si="8"/>
        <v>301140</v>
      </c>
      <c r="AG8" s="10">
        <f t="shared" si="8"/>
        <v>301140</v>
      </c>
      <c r="AH8" s="10">
        <f t="shared" si="8"/>
        <v>301140</v>
      </c>
      <c r="AI8" s="10">
        <f t="shared" si="8"/>
        <v>301140</v>
      </c>
      <c r="AJ8" s="10">
        <f t="shared" si="8"/>
        <v>301140</v>
      </c>
      <c r="AK8" s="10">
        <f t="shared" si="8"/>
        <v>301140</v>
      </c>
      <c r="AL8" s="10">
        <f t="shared" si="8"/>
        <v>301140</v>
      </c>
      <c r="AM8" s="10">
        <f t="shared" si="8"/>
        <v>301140</v>
      </c>
      <c r="AN8" s="10">
        <f t="shared" si="8"/>
        <v>301140</v>
      </c>
      <c r="AO8" s="10">
        <f t="shared" si="8"/>
        <v>301140</v>
      </c>
      <c r="AP8" s="10">
        <f t="shared" si="8"/>
        <v>301140</v>
      </c>
      <c r="AQ8" s="10">
        <f t="shared" si="8"/>
        <v>301140</v>
      </c>
      <c r="AR8" s="10">
        <f t="shared" si="8"/>
        <v>301140</v>
      </c>
      <c r="AS8" s="10">
        <f t="shared" si="8"/>
        <v>301140</v>
      </c>
      <c r="AT8" s="10">
        <f t="shared" si="8"/>
        <v>301140</v>
      </c>
      <c r="AU8" s="10">
        <f t="shared" si="8"/>
        <v>301140</v>
      </c>
      <c r="AV8" s="10">
        <f t="shared" si="8"/>
        <v>301140</v>
      </c>
      <c r="AW8" s="10">
        <f t="shared" si="8"/>
        <v>301140</v>
      </c>
      <c r="AX8" s="10">
        <f t="shared" si="8"/>
        <v>301140</v>
      </c>
    </row>
    <row r="9" spans="1:56" x14ac:dyDescent="0.2">
      <c r="A9" s="5" t="s">
        <v>142</v>
      </c>
      <c r="B9" s="5" t="s">
        <v>32</v>
      </c>
      <c r="C9" s="5" t="s">
        <v>350</v>
      </c>
      <c r="D9" s="5"/>
      <c r="E9" s="5"/>
      <c r="F9" s="5"/>
      <c r="G9" s="10">
        <v>0</v>
      </c>
      <c r="H9" s="10">
        <v>0</v>
      </c>
      <c r="I9" s="10">
        <v>0</v>
      </c>
      <c r="J9" s="22">
        <f t="shared" si="1"/>
        <v>13736.570355648466</v>
      </c>
      <c r="K9" s="10">
        <f>'8 -Car Air Pollution Benefit'!$E$35</f>
        <v>41209.711066945398</v>
      </c>
      <c r="L9" s="10">
        <f t="shared" si="7"/>
        <v>41209.711066945398</v>
      </c>
      <c r="M9" s="10">
        <f t="shared" si="8"/>
        <v>41209.711066945398</v>
      </c>
      <c r="N9" s="10">
        <f t="shared" si="8"/>
        <v>41209.711066945398</v>
      </c>
      <c r="O9" s="10">
        <f t="shared" si="8"/>
        <v>41209.711066945398</v>
      </c>
      <c r="P9" s="10">
        <f t="shared" si="8"/>
        <v>41209.711066945398</v>
      </c>
      <c r="Q9" s="10">
        <f t="shared" si="8"/>
        <v>41209.711066945398</v>
      </c>
      <c r="R9" s="10">
        <f t="shared" si="8"/>
        <v>41209.711066945398</v>
      </c>
      <c r="S9" s="10">
        <f t="shared" si="8"/>
        <v>41209.711066945398</v>
      </c>
      <c r="T9" s="10">
        <f t="shared" si="8"/>
        <v>41209.711066945398</v>
      </c>
      <c r="U9" s="10">
        <f t="shared" si="8"/>
        <v>41209.711066945398</v>
      </c>
      <c r="V9" s="10">
        <f t="shared" si="8"/>
        <v>41209.711066945398</v>
      </c>
      <c r="W9" s="10">
        <f t="shared" si="8"/>
        <v>41209.711066945398</v>
      </c>
      <c r="X9" s="10">
        <f t="shared" si="8"/>
        <v>41209.711066945398</v>
      </c>
      <c r="Y9" s="10">
        <f t="shared" si="8"/>
        <v>41209.711066945398</v>
      </c>
      <c r="Z9" s="10">
        <f t="shared" si="8"/>
        <v>41209.711066945398</v>
      </c>
      <c r="AA9" s="10">
        <f t="shared" si="8"/>
        <v>41209.711066945398</v>
      </c>
      <c r="AB9" s="10">
        <f t="shared" si="8"/>
        <v>41209.711066945398</v>
      </c>
      <c r="AC9" s="10">
        <f t="shared" si="8"/>
        <v>41209.711066945398</v>
      </c>
      <c r="AD9" s="10">
        <f t="shared" si="8"/>
        <v>41209.711066945398</v>
      </c>
      <c r="AE9" s="10">
        <f t="shared" si="8"/>
        <v>41209.711066945398</v>
      </c>
      <c r="AF9" s="10">
        <f t="shared" si="8"/>
        <v>41209.711066945398</v>
      </c>
      <c r="AG9" s="10">
        <f t="shared" si="8"/>
        <v>41209.711066945398</v>
      </c>
      <c r="AH9" s="10">
        <f t="shared" si="8"/>
        <v>41209.711066945398</v>
      </c>
      <c r="AI9" s="10">
        <f t="shared" si="8"/>
        <v>41209.711066945398</v>
      </c>
      <c r="AJ9" s="10">
        <f t="shared" si="8"/>
        <v>41209.711066945398</v>
      </c>
      <c r="AK9" s="10">
        <f t="shared" si="8"/>
        <v>41209.711066945398</v>
      </c>
      <c r="AL9" s="10">
        <f t="shared" si="8"/>
        <v>41209.711066945398</v>
      </c>
      <c r="AM9" s="10">
        <f t="shared" si="8"/>
        <v>41209.711066945398</v>
      </c>
      <c r="AN9" s="10">
        <f t="shared" si="8"/>
        <v>41209.711066945398</v>
      </c>
      <c r="AO9" s="10">
        <f t="shared" si="8"/>
        <v>41209.711066945398</v>
      </c>
      <c r="AP9" s="10">
        <f t="shared" si="8"/>
        <v>41209.711066945398</v>
      </c>
      <c r="AQ9" s="10">
        <f t="shared" si="8"/>
        <v>41209.711066945398</v>
      </c>
      <c r="AR9" s="10">
        <f t="shared" si="8"/>
        <v>41209.711066945398</v>
      </c>
      <c r="AS9" s="10">
        <f t="shared" si="8"/>
        <v>41209.711066945398</v>
      </c>
      <c r="AT9" s="10">
        <f t="shared" si="8"/>
        <v>41209.711066945398</v>
      </c>
      <c r="AU9" s="10">
        <f t="shared" si="8"/>
        <v>41209.711066945398</v>
      </c>
      <c r="AV9" s="10">
        <f t="shared" si="8"/>
        <v>41209.711066945398</v>
      </c>
      <c r="AW9" s="10">
        <f t="shared" si="8"/>
        <v>41209.711066945398</v>
      </c>
      <c r="AX9" s="10">
        <f t="shared" si="8"/>
        <v>41209.711066945398</v>
      </c>
    </row>
    <row r="10" spans="1:56" x14ac:dyDescent="0.2">
      <c r="A10" s="5" t="s">
        <v>45</v>
      </c>
      <c r="B10" s="5" t="s">
        <v>33</v>
      </c>
      <c r="C10" s="5" t="s">
        <v>351</v>
      </c>
      <c r="D10" s="5"/>
      <c r="E10" s="5"/>
      <c r="F10" s="5"/>
      <c r="G10" s="10">
        <v>0</v>
      </c>
      <c r="H10" s="10">
        <v>0</v>
      </c>
      <c r="I10" s="10">
        <v>0</v>
      </c>
      <c r="J10" s="22">
        <f t="shared" si="1"/>
        <v>50953.350267564267</v>
      </c>
      <c r="K10" s="10">
        <f>'9 -Safety Benefits'!$C$10+'9 -Safety Benefits'!D24</f>
        <v>152860.0508026928</v>
      </c>
      <c r="L10" s="10">
        <f t="shared" si="7"/>
        <v>152860.0508026928</v>
      </c>
      <c r="M10" s="10">
        <f t="shared" ref="M10:AX10" si="9">L10</f>
        <v>152860.0508026928</v>
      </c>
      <c r="N10" s="10">
        <f t="shared" si="9"/>
        <v>152860.0508026928</v>
      </c>
      <c r="O10" s="10">
        <f t="shared" si="9"/>
        <v>152860.0508026928</v>
      </c>
      <c r="P10" s="10">
        <f t="shared" si="9"/>
        <v>152860.0508026928</v>
      </c>
      <c r="Q10" s="10">
        <f t="shared" si="9"/>
        <v>152860.0508026928</v>
      </c>
      <c r="R10" s="10">
        <f t="shared" si="9"/>
        <v>152860.0508026928</v>
      </c>
      <c r="S10" s="10">
        <f t="shared" si="9"/>
        <v>152860.0508026928</v>
      </c>
      <c r="T10" s="10">
        <f t="shared" si="9"/>
        <v>152860.0508026928</v>
      </c>
      <c r="U10" s="10">
        <f t="shared" si="9"/>
        <v>152860.0508026928</v>
      </c>
      <c r="V10" s="10">
        <f t="shared" si="9"/>
        <v>152860.0508026928</v>
      </c>
      <c r="W10" s="10">
        <f t="shared" si="9"/>
        <v>152860.0508026928</v>
      </c>
      <c r="X10" s="10">
        <f t="shared" si="9"/>
        <v>152860.0508026928</v>
      </c>
      <c r="Y10" s="10">
        <f t="shared" si="9"/>
        <v>152860.0508026928</v>
      </c>
      <c r="Z10" s="10">
        <f t="shared" si="9"/>
        <v>152860.0508026928</v>
      </c>
      <c r="AA10" s="10">
        <f t="shared" si="9"/>
        <v>152860.0508026928</v>
      </c>
      <c r="AB10" s="10">
        <f t="shared" si="9"/>
        <v>152860.0508026928</v>
      </c>
      <c r="AC10" s="10">
        <f t="shared" si="9"/>
        <v>152860.0508026928</v>
      </c>
      <c r="AD10" s="10">
        <f t="shared" si="9"/>
        <v>152860.0508026928</v>
      </c>
      <c r="AE10" s="10">
        <f t="shared" si="9"/>
        <v>152860.0508026928</v>
      </c>
      <c r="AF10" s="10">
        <f t="shared" si="9"/>
        <v>152860.0508026928</v>
      </c>
      <c r="AG10" s="10">
        <f t="shared" si="9"/>
        <v>152860.0508026928</v>
      </c>
      <c r="AH10" s="10">
        <f t="shared" si="9"/>
        <v>152860.0508026928</v>
      </c>
      <c r="AI10" s="10">
        <f t="shared" si="9"/>
        <v>152860.0508026928</v>
      </c>
      <c r="AJ10" s="10">
        <f t="shared" si="9"/>
        <v>152860.0508026928</v>
      </c>
      <c r="AK10" s="10">
        <f t="shared" si="9"/>
        <v>152860.0508026928</v>
      </c>
      <c r="AL10" s="10">
        <f t="shared" si="9"/>
        <v>152860.0508026928</v>
      </c>
      <c r="AM10" s="10">
        <f t="shared" si="9"/>
        <v>152860.0508026928</v>
      </c>
      <c r="AN10" s="10">
        <f t="shared" si="9"/>
        <v>152860.0508026928</v>
      </c>
      <c r="AO10" s="10">
        <f t="shared" si="9"/>
        <v>152860.0508026928</v>
      </c>
      <c r="AP10" s="10">
        <f t="shared" si="9"/>
        <v>152860.0508026928</v>
      </c>
      <c r="AQ10" s="10">
        <f t="shared" si="9"/>
        <v>152860.0508026928</v>
      </c>
      <c r="AR10" s="10">
        <f t="shared" si="9"/>
        <v>152860.0508026928</v>
      </c>
      <c r="AS10" s="10">
        <f t="shared" si="9"/>
        <v>152860.0508026928</v>
      </c>
      <c r="AT10" s="10">
        <f t="shared" si="9"/>
        <v>152860.0508026928</v>
      </c>
      <c r="AU10" s="10">
        <f t="shared" si="9"/>
        <v>152860.0508026928</v>
      </c>
      <c r="AV10" s="10">
        <f t="shared" si="9"/>
        <v>152860.0508026928</v>
      </c>
      <c r="AW10" s="10">
        <f t="shared" si="9"/>
        <v>152860.0508026928</v>
      </c>
      <c r="AX10" s="10">
        <f t="shared" si="9"/>
        <v>152860.0508026928</v>
      </c>
    </row>
    <row r="11" spans="1:56" x14ac:dyDescent="0.2">
      <c r="A11" s="5" t="s">
        <v>44</v>
      </c>
      <c r="B11" s="5" t="s">
        <v>33</v>
      </c>
      <c r="C11" s="5" t="s">
        <v>351</v>
      </c>
      <c r="D11" s="5"/>
      <c r="E11" s="5"/>
      <c r="F11" s="5"/>
      <c r="G11" s="10">
        <v>0</v>
      </c>
      <c r="H11" s="10">
        <v>0</v>
      </c>
      <c r="I11" s="10">
        <v>0</v>
      </c>
      <c r="J11" s="22">
        <f t="shared" si="1"/>
        <v>152187.46692092408</v>
      </c>
      <c r="K11" s="10">
        <f>'9 -Safety Benefits'!$C$15+'9 -Safety Benefits'!D23+'9 -Safety Benefits'!D25+'9 -Safety Benefits'!D26</f>
        <v>456562.4007627723</v>
      </c>
      <c r="L11" s="10">
        <f t="shared" si="7"/>
        <v>456562.4007627723</v>
      </c>
      <c r="M11" s="10">
        <f t="shared" ref="M11:AX11" si="10">L11</f>
        <v>456562.4007627723</v>
      </c>
      <c r="N11" s="10">
        <f t="shared" si="10"/>
        <v>456562.4007627723</v>
      </c>
      <c r="O11" s="10">
        <f t="shared" si="10"/>
        <v>456562.4007627723</v>
      </c>
      <c r="P11" s="10">
        <f t="shared" si="10"/>
        <v>456562.4007627723</v>
      </c>
      <c r="Q11" s="10">
        <f t="shared" si="10"/>
        <v>456562.4007627723</v>
      </c>
      <c r="R11" s="10">
        <f t="shared" si="10"/>
        <v>456562.4007627723</v>
      </c>
      <c r="S11" s="10">
        <f t="shared" si="10"/>
        <v>456562.4007627723</v>
      </c>
      <c r="T11" s="10">
        <f t="shared" si="10"/>
        <v>456562.4007627723</v>
      </c>
      <c r="U11" s="10">
        <f t="shared" si="10"/>
        <v>456562.4007627723</v>
      </c>
      <c r="V11" s="10">
        <f t="shared" si="10"/>
        <v>456562.4007627723</v>
      </c>
      <c r="W11" s="10">
        <f t="shared" si="10"/>
        <v>456562.4007627723</v>
      </c>
      <c r="X11" s="10">
        <f t="shared" si="10"/>
        <v>456562.4007627723</v>
      </c>
      <c r="Y11" s="10">
        <f t="shared" si="10"/>
        <v>456562.4007627723</v>
      </c>
      <c r="Z11" s="10">
        <f t="shared" si="10"/>
        <v>456562.4007627723</v>
      </c>
      <c r="AA11" s="10">
        <f t="shared" si="10"/>
        <v>456562.4007627723</v>
      </c>
      <c r="AB11" s="10">
        <f t="shared" si="10"/>
        <v>456562.4007627723</v>
      </c>
      <c r="AC11" s="10">
        <f t="shared" si="10"/>
        <v>456562.4007627723</v>
      </c>
      <c r="AD11" s="10">
        <f t="shared" si="10"/>
        <v>456562.4007627723</v>
      </c>
      <c r="AE11" s="10">
        <f t="shared" si="10"/>
        <v>456562.4007627723</v>
      </c>
      <c r="AF11" s="10">
        <f t="shared" si="10"/>
        <v>456562.4007627723</v>
      </c>
      <c r="AG11" s="10">
        <f t="shared" si="10"/>
        <v>456562.4007627723</v>
      </c>
      <c r="AH11" s="10">
        <f t="shared" si="10"/>
        <v>456562.4007627723</v>
      </c>
      <c r="AI11" s="10">
        <f t="shared" si="10"/>
        <v>456562.4007627723</v>
      </c>
      <c r="AJ11" s="10">
        <f t="shared" si="10"/>
        <v>456562.4007627723</v>
      </c>
      <c r="AK11" s="10">
        <f t="shared" si="10"/>
        <v>456562.4007627723</v>
      </c>
      <c r="AL11" s="10">
        <f t="shared" si="10"/>
        <v>456562.4007627723</v>
      </c>
      <c r="AM11" s="10">
        <f t="shared" si="10"/>
        <v>456562.4007627723</v>
      </c>
      <c r="AN11" s="10">
        <f t="shared" si="10"/>
        <v>456562.4007627723</v>
      </c>
      <c r="AO11" s="10">
        <f t="shared" si="10"/>
        <v>456562.4007627723</v>
      </c>
      <c r="AP11" s="10">
        <f t="shared" si="10"/>
        <v>456562.4007627723</v>
      </c>
      <c r="AQ11" s="10">
        <f t="shared" si="10"/>
        <v>456562.4007627723</v>
      </c>
      <c r="AR11" s="10">
        <f t="shared" si="10"/>
        <v>456562.4007627723</v>
      </c>
      <c r="AS11" s="10">
        <f t="shared" si="10"/>
        <v>456562.4007627723</v>
      </c>
      <c r="AT11" s="10">
        <f t="shared" si="10"/>
        <v>456562.4007627723</v>
      </c>
      <c r="AU11" s="10">
        <f t="shared" si="10"/>
        <v>456562.4007627723</v>
      </c>
      <c r="AV11" s="10">
        <f t="shared" si="10"/>
        <v>456562.4007627723</v>
      </c>
      <c r="AW11" s="10">
        <f t="shared" si="10"/>
        <v>456562.4007627723</v>
      </c>
      <c r="AX11" s="10">
        <f t="shared" si="10"/>
        <v>456562.4007627723</v>
      </c>
    </row>
    <row r="12" spans="1:56" x14ac:dyDescent="0.2">
      <c r="A12" s="5" t="s">
        <v>141</v>
      </c>
      <c r="B12" s="5" t="s">
        <v>30</v>
      </c>
      <c r="C12" s="5" t="s">
        <v>351</v>
      </c>
      <c r="D12" s="5"/>
      <c r="E12" s="5"/>
      <c r="F12" s="5"/>
      <c r="G12" s="10">
        <v>0</v>
      </c>
      <c r="H12" s="10">
        <v>0</v>
      </c>
      <c r="I12" s="10">
        <v>0</v>
      </c>
      <c r="J12" s="22">
        <f t="shared" si="1"/>
        <v>1647.0159867524767</v>
      </c>
      <c r="K12" s="10">
        <f>'9 -Safety Benefits'!$C$55+'9 -Safety Benefits'!D22</f>
        <v>4941.0479602574305</v>
      </c>
      <c r="L12" s="10">
        <f t="shared" si="7"/>
        <v>4941.0479602574305</v>
      </c>
      <c r="M12" s="10">
        <f t="shared" ref="M12:AX12" si="11">L12</f>
        <v>4941.0479602574305</v>
      </c>
      <c r="N12" s="10">
        <f t="shared" si="11"/>
        <v>4941.0479602574305</v>
      </c>
      <c r="O12" s="10">
        <f t="shared" si="11"/>
        <v>4941.0479602574305</v>
      </c>
      <c r="P12" s="10">
        <f t="shared" si="11"/>
        <v>4941.0479602574305</v>
      </c>
      <c r="Q12" s="10">
        <f t="shared" si="11"/>
        <v>4941.0479602574305</v>
      </c>
      <c r="R12" s="10">
        <f t="shared" si="11"/>
        <v>4941.0479602574305</v>
      </c>
      <c r="S12" s="10">
        <f t="shared" si="11"/>
        <v>4941.0479602574305</v>
      </c>
      <c r="T12" s="10">
        <f t="shared" si="11"/>
        <v>4941.0479602574305</v>
      </c>
      <c r="U12" s="10">
        <f t="shared" si="11"/>
        <v>4941.0479602574305</v>
      </c>
      <c r="V12" s="10">
        <f t="shared" si="11"/>
        <v>4941.0479602574305</v>
      </c>
      <c r="W12" s="10">
        <f t="shared" si="11"/>
        <v>4941.0479602574305</v>
      </c>
      <c r="X12" s="10">
        <f t="shared" si="11"/>
        <v>4941.0479602574305</v>
      </c>
      <c r="Y12" s="10">
        <f t="shared" si="11"/>
        <v>4941.0479602574305</v>
      </c>
      <c r="Z12" s="10">
        <f t="shared" si="11"/>
        <v>4941.0479602574305</v>
      </c>
      <c r="AA12" s="10">
        <f t="shared" si="11"/>
        <v>4941.0479602574305</v>
      </c>
      <c r="AB12" s="10">
        <f t="shared" si="11"/>
        <v>4941.0479602574305</v>
      </c>
      <c r="AC12" s="10">
        <f t="shared" si="11"/>
        <v>4941.0479602574305</v>
      </c>
      <c r="AD12" s="10">
        <f t="shared" si="11"/>
        <v>4941.0479602574305</v>
      </c>
      <c r="AE12" s="10">
        <f t="shared" si="11"/>
        <v>4941.0479602574305</v>
      </c>
      <c r="AF12" s="10">
        <f t="shared" si="11"/>
        <v>4941.0479602574305</v>
      </c>
      <c r="AG12" s="10">
        <f t="shared" si="11"/>
        <v>4941.0479602574305</v>
      </c>
      <c r="AH12" s="10">
        <f t="shared" si="11"/>
        <v>4941.0479602574305</v>
      </c>
      <c r="AI12" s="10">
        <f t="shared" si="11"/>
        <v>4941.0479602574305</v>
      </c>
      <c r="AJ12" s="10">
        <f t="shared" si="11"/>
        <v>4941.0479602574305</v>
      </c>
      <c r="AK12" s="10">
        <f t="shared" si="11"/>
        <v>4941.0479602574305</v>
      </c>
      <c r="AL12" s="10">
        <f t="shared" si="11"/>
        <v>4941.0479602574305</v>
      </c>
      <c r="AM12" s="10">
        <f t="shared" si="11"/>
        <v>4941.0479602574305</v>
      </c>
      <c r="AN12" s="10">
        <f t="shared" si="11"/>
        <v>4941.0479602574305</v>
      </c>
      <c r="AO12" s="10">
        <f t="shared" si="11"/>
        <v>4941.0479602574305</v>
      </c>
      <c r="AP12" s="10">
        <f t="shared" si="11"/>
        <v>4941.0479602574305</v>
      </c>
      <c r="AQ12" s="10">
        <f t="shared" si="11"/>
        <v>4941.0479602574305</v>
      </c>
      <c r="AR12" s="10">
        <f t="shared" si="11"/>
        <v>4941.0479602574305</v>
      </c>
      <c r="AS12" s="10">
        <f t="shared" si="11"/>
        <v>4941.0479602574305</v>
      </c>
      <c r="AT12" s="10">
        <f t="shared" si="11"/>
        <v>4941.0479602574305</v>
      </c>
      <c r="AU12" s="10">
        <f t="shared" si="11"/>
        <v>4941.0479602574305</v>
      </c>
      <c r="AV12" s="10">
        <f t="shared" si="11"/>
        <v>4941.0479602574305</v>
      </c>
      <c r="AW12" s="10">
        <f t="shared" si="11"/>
        <v>4941.0479602574305</v>
      </c>
      <c r="AX12" s="10">
        <f t="shared" si="11"/>
        <v>4941.0479602574305</v>
      </c>
    </row>
    <row r="13" spans="1:56" x14ac:dyDescent="0.2">
      <c r="A13" s="5" t="s">
        <v>100</v>
      </c>
      <c r="B13" s="5" t="s">
        <v>377</v>
      </c>
      <c r="C13" s="5" t="s">
        <v>352</v>
      </c>
      <c r="D13" s="5"/>
      <c r="E13" s="5" t="s">
        <v>301</v>
      </c>
      <c r="F13" s="5"/>
      <c r="G13" s="10">
        <v>0</v>
      </c>
      <c r="H13" s="10">
        <v>0</v>
      </c>
      <c r="I13" s="10">
        <v>0</v>
      </c>
      <c r="J13" s="22">
        <v>0</v>
      </c>
      <c r="K13" s="10">
        <f>'10-Real Estate Values'!$B$21</f>
        <v>4333787.42</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row>
    <row r="14" spans="1:56" s="12" customFormat="1" x14ac:dyDescent="0.2">
      <c r="A14" s="254" t="s">
        <v>28</v>
      </c>
      <c r="B14" s="254"/>
      <c r="C14" s="255" t="s">
        <v>37</v>
      </c>
      <c r="D14" s="255" t="s">
        <v>92</v>
      </c>
      <c r="E14" s="255" t="s">
        <v>38</v>
      </c>
      <c r="F14" s="254"/>
      <c r="G14" s="249">
        <f>G1</f>
        <v>2014</v>
      </c>
      <c r="H14" s="249">
        <f>G14+1</f>
        <v>2015</v>
      </c>
      <c r="I14" s="249">
        <f>H14+1</f>
        <v>2016</v>
      </c>
      <c r="J14" s="249">
        <f>I14+1</f>
        <v>2017</v>
      </c>
      <c r="K14" s="249">
        <f t="shared" ref="K14:AX14" si="12">J14+1</f>
        <v>2018</v>
      </c>
      <c r="L14" s="249">
        <f t="shared" si="12"/>
        <v>2019</v>
      </c>
      <c r="M14" s="249">
        <f t="shared" si="12"/>
        <v>2020</v>
      </c>
      <c r="N14" s="249">
        <f t="shared" si="12"/>
        <v>2021</v>
      </c>
      <c r="O14" s="249">
        <f t="shared" si="12"/>
        <v>2022</v>
      </c>
      <c r="P14" s="249">
        <f t="shared" si="12"/>
        <v>2023</v>
      </c>
      <c r="Q14" s="249">
        <f t="shared" si="12"/>
        <v>2024</v>
      </c>
      <c r="R14" s="249">
        <f t="shared" si="12"/>
        <v>2025</v>
      </c>
      <c r="S14" s="249">
        <f t="shared" si="12"/>
        <v>2026</v>
      </c>
      <c r="T14" s="249">
        <f t="shared" si="12"/>
        <v>2027</v>
      </c>
      <c r="U14" s="249">
        <f t="shared" si="12"/>
        <v>2028</v>
      </c>
      <c r="V14" s="249">
        <f t="shared" si="12"/>
        <v>2029</v>
      </c>
      <c r="W14" s="249">
        <f t="shared" si="12"/>
        <v>2030</v>
      </c>
      <c r="X14" s="249">
        <f t="shared" si="12"/>
        <v>2031</v>
      </c>
      <c r="Y14" s="249">
        <f t="shared" si="12"/>
        <v>2032</v>
      </c>
      <c r="Z14" s="249">
        <f t="shared" si="12"/>
        <v>2033</v>
      </c>
      <c r="AA14" s="249">
        <f t="shared" si="12"/>
        <v>2034</v>
      </c>
      <c r="AB14" s="249">
        <f t="shared" si="12"/>
        <v>2035</v>
      </c>
      <c r="AC14" s="249">
        <f t="shared" si="12"/>
        <v>2036</v>
      </c>
      <c r="AD14" s="249">
        <f t="shared" si="12"/>
        <v>2037</v>
      </c>
      <c r="AE14" s="249">
        <f t="shared" si="12"/>
        <v>2038</v>
      </c>
      <c r="AF14" s="249">
        <f t="shared" si="12"/>
        <v>2039</v>
      </c>
      <c r="AG14" s="249">
        <f t="shared" si="12"/>
        <v>2040</v>
      </c>
      <c r="AH14" s="249">
        <f t="shared" si="12"/>
        <v>2041</v>
      </c>
      <c r="AI14" s="249">
        <f t="shared" si="12"/>
        <v>2042</v>
      </c>
      <c r="AJ14" s="249">
        <f t="shared" si="12"/>
        <v>2043</v>
      </c>
      <c r="AK14" s="249">
        <f t="shared" si="12"/>
        <v>2044</v>
      </c>
      <c r="AL14" s="249">
        <f t="shared" si="12"/>
        <v>2045</v>
      </c>
      <c r="AM14" s="249">
        <f t="shared" si="12"/>
        <v>2046</v>
      </c>
      <c r="AN14" s="249">
        <f t="shared" si="12"/>
        <v>2047</v>
      </c>
      <c r="AO14" s="249">
        <f t="shared" si="12"/>
        <v>2048</v>
      </c>
      <c r="AP14" s="249">
        <f t="shared" si="12"/>
        <v>2049</v>
      </c>
      <c r="AQ14" s="249">
        <f t="shared" si="12"/>
        <v>2050</v>
      </c>
      <c r="AR14" s="249">
        <f t="shared" si="12"/>
        <v>2051</v>
      </c>
      <c r="AS14" s="249">
        <f t="shared" si="12"/>
        <v>2052</v>
      </c>
      <c r="AT14" s="249">
        <f t="shared" si="12"/>
        <v>2053</v>
      </c>
      <c r="AU14" s="249">
        <f t="shared" si="12"/>
        <v>2054</v>
      </c>
      <c r="AV14" s="249">
        <f t="shared" si="12"/>
        <v>2055</v>
      </c>
      <c r="AW14" s="249">
        <f t="shared" si="12"/>
        <v>2056</v>
      </c>
      <c r="AX14" s="251">
        <f t="shared" si="12"/>
        <v>2057</v>
      </c>
      <c r="BC14" s="12" t="s">
        <v>46</v>
      </c>
      <c r="BD14" s="19">
        <v>0.03</v>
      </c>
    </row>
    <row r="15" spans="1:56" x14ac:dyDescent="0.2">
      <c r="A15" s="21" t="s">
        <v>29</v>
      </c>
      <c r="B15" s="21"/>
      <c r="C15" s="22"/>
      <c r="D15" s="194">
        <v>0.03</v>
      </c>
      <c r="E15" s="194">
        <v>7.0000000000000007E-2</v>
      </c>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3"/>
      <c r="BD15" s="24">
        <v>7.0000000000000007E-2</v>
      </c>
    </row>
    <row r="16" spans="1:56" x14ac:dyDescent="0.2">
      <c r="A16" s="5" t="s">
        <v>30</v>
      </c>
      <c r="B16" s="5"/>
      <c r="C16" s="22">
        <f t="shared" ref="C16:C21" si="13">SUM(G16:AX16)</f>
        <v>1417381.1869170493</v>
      </c>
      <c r="D16" s="22">
        <f t="shared" ref="D16:E21" si="14">NPV(D$15,$G16:$AX16)</f>
        <v>732118.54088419315</v>
      </c>
      <c r="E16" s="22">
        <f t="shared" si="14"/>
        <v>366351.87121214718</v>
      </c>
      <c r="F16" s="25"/>
      <c r="G16" s="22">
        <f t="shared" ref="G16:P21" si="15">SUMIF($B$2:$B$13,$A16,G$2:G$13)</f>
        <v>0</v>
      </c>
      <c r="H16" s="22">
        <f t="shared" si="15"/>
        <v>0</v>
      </c>
      <c r="I16" s="22">
        <f t="shared" si="15"/>
        <v>0</v>
      </c>
      <c r="J16" s="22">
        <f t="shared" si="15"/>
        <v>11713.894106752474</v>
      </c>
      <c r="K16" s="22">
        <f t="shared" si="15"/>
        <v>35141.682320257431</v>
      </c>
      <c r="L16" s="22">
        <f t="shared" si="15"/>
        <v>35141.682320257431</v>
      </c>
      <c r="M16" s="22">
        <f t="shared" si="15"/>
        <v>35141.682320257431</v>
      </c>
      <c r="N16" s="22">
        <f t="shared" si="15"/>
        <v>35141.682320257431</v>
      </c>
      <c r="O16" s="22">
        <f t="shared" si="15"/>
        <v>35141.682320257431</v>
      </c>
      <c r="P16" s="22">
        <f t="shared" si="15"/>
        <v>35141.682320257431</v>
      </c>
      <c r="Q16" s="22">
        <f t="shared" ref="Q16:Z21" si="16">SUMIF($B$2:$B$13,$A16,Q$2:Q$13)</f>
        <v>35141.682320257431</v>
      </c>
      <c r="R16" s="22">
        <f t="shared" si="16"/>
        <v>35141.682320257431</v>
      </c>
      <c r="S16" s="22">
        <f t="shared" si="16"/>
        <v>35141.682320257431</v>
      </c>
      <c r="T16" s="22">
        <f t="shared" si="16"/>
        <v>35141.682320257431</v>
      </c>
      <c r="U16" s="22">
        <f t="shared" si="16"/>
        <v>35141.682320257431</v>
      </c>
      <c r="V16" s="22">
        <f t="shared" si="16"/>
        <v>35141.682320257431</v>
      </c>
      <c r="W16" s="22">
        <f t="shared" si="16"/>
        <v>35141.682320257431</v>
      </c>
      <c r="X16" s="22">
        <f t="shared" si="16"/>
        <v>35141.682320257431</v>
      </c>
      <c r="Y16" s="22">
        <f t="shared" si="16"/>
        <v>35141.682320257431</v>
      </c>
      <c r="Z16" s="22">
        <f t="shared" si="16"/>
        <v>35141.682320257431</v>
      </c>
      <c r="AA16" s="22">
        <f t="shared" ref="AA16:AJ21" si="17">SUMIF($B$2:$B$13,$A16,AA$2:AA$13)</f>
        <v>35141.682320257431</v>
      </c>
      <c r="AB16" s="22">
        <f t="shared" si="17"/>
        <v>35141.682320257431</v>
      </c>
      <c r="AC16" s="22">
        <f t="shared" si="17"/>
        <v>35141.682320257431</v>
      </c>
      <c r="AD16" s="22">
        <f t="shared" si="17"/>
        <v>35141.682320257431</v>
      </c>
      <c r="AE16" s="22">
        <f t="shared" si="17"/>
        <v>35141.682320257431</v>
      </c>
      <c r="AF16" s="22">
        <f t="shared" si="17"/>
        <v>35141.682320257431</v>
      </c>
      <c r="AG16" s="22">
        <f t="shared" si="17"/>
        <v>35141.682320257431</v>
      </c>
      <c r="AH16" s="22">
        <f t="shared" si="17"/>
        <v>35141.682320257431</v>
      </c>
      <c r="AI16" s="22">
        <f t="shared" si="17"/>
        <v>35141.682320257431</v>
      </c>
      <c r="AJ16" s="22">
        <f t="shared" si="17"/>
        <v>35141.682320257431</v>
      </c>
      <c r="AK16" s="22">
        <f t="shared" ref="AK16:AX21" si="18">SUMIF($B$2:$B$13,$A16,AK$2:AK$13)</f>
        <v>35141.682320257431</v>
      </c>
      <c r="AL16" s="22">
        <f t="shared" si="18"/>
        <v>35141.682320257431</v>
      </c>
      <c r="AM16" s="22">
        <f t="shared" si="18"/>
        <v>35141.682320257431</v>
      </c>
      <c r="AN16" s="22">
        <f t="shared" si="18"/>
        <v>35141.682320257431</v>
      </c>
      <c r="AO16" s="22">
        <f t="shared" si="18"/>
        <v>35141.682320257431</v>
      </c>
      <c r="AP16" s="22">
        <f t="shared" si="18"/>
        <v>35141.682320257431</v>
      </c>
      <c r="AQ16" s="22">
        <f t="shared" si="18"/>
        <v>35141.682320257431</v>
      </c>
      <c r="AR16" s="22">
        <f t="shared" si="18"/>
        <v>35141.682320257431</v>
      </c>
      <c r="AS16" s="22">
        <f t="shared" si="18"/>
        <v>35141.682320257431</v>
      </c>
      <c r="AT16" s="22">
        <f t="shared" si="18"/>
        <v>35141.682320257431</v>
      </c>
      <c r="AU16" s="22">
        <f t="shared" si="18"/>
        <v>35141.682320257431</v>
      </c>
      <c r="AV16" s="22">
        <f t="shared" si="18"/>
        <v>35141.682320257431</v>
      </c>
      <c r="AW16" s="22">
        <f t="shared" si="18"/>
        <v>35141.682320257431</v>
      </c>
      <c r="AX16" s="22">
        <f t="shared" si="18"/>
        <v>35141.682320257431</v>
      </c>
    </row>
    <row r="17" spans="1:50" x14ac:dyDescent="0.2">
      <c r="A17" s="5" t="s">
        <v>31</v>
      </c>
      <c r="B17" s="5"/>
      <c r="C17" s="22">
        <f t="shared" si="13"/>
        <v>5733711.8533522179</v>
      </c>
      <c r="D17" s="22">
        <f t="shared" si="14"/>
        <v>2961628.6674844222</v>
      </c>
      <c r="E17" s="22">
        <f t="shared" si="14"/>
        <v>1481997.9874544409</v>
      </c>
      <c r="F17" s="22"/>
      <c r="G17" s="22">
        <f t="shared" si="15"/>
        <v>0</v>
      </c>
      <c r="H17" s="22">
        <f t="shared" si="15"/>
        <v>0</v>
      </c>
      <c r="I17" s="22">
        <f t="shared" si="15"/>
        <v>0</v>
      </c>
      <c r="J17" s="22">
        <f t="shared" si="15"/>
        <v>47386.048374811719</v>
      </c>
      <c r="K17" s="22">
        <f t="shared" si="15"/>
        <v>142158.14512443516</v>
      </c>
      <c r="L17" s="22">
        <f t="shared" si="15"/>
        <v>142158.14512443516</v>
      </c>
      <c r="M17" s="22">
        <f t="shared" si="15"/>
        <v>142158.14512443516</v>
      </c>
      <c r="N17" s="22">
        <f t="shared" si="15"/>
        <v>142158.14512443516</v>
      </c>
      <c r="O17" s="22">
        <f t="shared" si="15"/>
        <v>142158.14512443516</v>
      </c>
      <c r="P17" s="22">
        <f t="shared" si="15"/>
        <v>142158.14512443516</v>
      </c>
      <c r="Q17" s="22">
        <f t="shared" si="16"/>
        <v>142158.14512443516</v>
      </c>
      <c r="R17" s="22">
        <f t="shared" si="16"/>
        <v>142158.14512443516</v>
      </c>
      <c r="S17" s="22">
        <f t="shared" si="16"/>
        <v>142158.14512443516</v>
      </c>
      <c r="T17" s="22">
        <f t="shared" si="16"/>
        <v>142158.14512443516</v>
      </c>
      <c r="U17" s="22">
        <f t="shared" si="16"/>
        <v>142158.14512443516</v>
      </c>
      <c r="V17" s="22">
        <f t="shared" si="16"/>
        <v>142158.14512443516</v>
      </c>
      <c r="W17" s="22">
        <f t="shared" si="16"/>
        <v>142158.14512443516</v>
      </c>
      <c r="X17" s="22">
        <f t="shared" si="16"/>
        <v>142158.14512443516</v>
      </c>
      <c r="Y17" s="22">
        <f t="shared" si="16"/>
        <v>142158.14512443516</v>
      </c>
      <c r="Z17" s="22">
        <f t="shared" si="16"/>
        <v>142158.14512443516</v>
      </c>
      <c r="AA17" s="22">
        <f t="shared" si="17"/>
        <v>142158.14512443516</v>
      </c>
      <c r="AB17" s="22">
        <f t="shared" si="17"/>
        <v>142158.14512443516</v>
      </c>
      <c r="AC17" s="22">
        <f t="shared" si="17"/>
        <v>142158.14512443516</v>
      </c>
      <c r="AD17" s="22">
        <f t="shared" si="17"/>
        <v>142158.14512443516</v>
      </c>
      <c r="AE17" s="22">
        <f t="shared" si="17"/>
        <v>142158.14512443516</v>
      </c>
      <c r="AF17" s="22">
        <f t="shared" si="17"/>
        <v>142158.14512443516</v>
      </c>
      <c r="AG17" s="22">
        <f t="shared" si="17"/>
        <v>142158.14512443516</v>
      </c>
      <c r="AH17" s="22">
        <f t="shared" si="17"/>
        <v>142158.14512443516</v>
      </c>
      <c r="AI17" s="22">
        <f t="shared" si="17"/>
        <v>142158.14512443516</v>
      </c>
      <c r="AJ17" s="22">
        <f t="shared" si="17"/>
        <v>142158.14512443516</v>
      </c>
      <c r="AK17" s="22">
        <f t="shared" si="18"/>
        <v>142158.14512443516</v>
      </c>
      <c r="AL17" s="22">
        <f t="shared" si="18"/>
        <v>142158.14512443516</v>
      </c>
      <c r="AM17" s="22">
        <f t="shared" si="18"/>
        <v>142158.14512443516</v>
      </c>
      <c r="AN17" s="22">
        <f t="shared" si="18"/>
        <v>142158.14512443516</v>
      </c>
      <c r="AO17" s="22">
        <f t="shared" si="18"/>
        <v>142158.14512443516</v>
      </c>
      <c r="AP17" s="22">
        <f t="shared" si="18"/>
        <v>142158.14512443516</v>
      </c>
      <c r="AQ17" s="22">
        <f t="shared" si="18"/>
        <v>142158.14512443516</v>
      </c>
      <c r="AR17" s="22">
        <f t="shared" si="18"/>
        <v>142158.14512443516</v>
      </c>
      <c r="AS17" s="22">
        <f t="shared" si="18"/>
        <v>142158.14512443516</v>
      </c>
      <c r="AT17" s="22">
        <f t="shared" si="18"/>
        <v>142158.14512443516</v>
      </c>
      <c r="AU17" s="22">
        <f t="shared" si="18"/>
        <v>142158.14512443516</v>
      </c>
      <c r="AV17" s="22">
        <f t="shared" si="18"/>
        <v>142158.14512443516</v>
      </c>
      <c r="AW17" s="22">
        <f t="shared" si="18"/>
        <v>142158.14512443516</v>
      </c>
      <c r="AX17" s="22">
        <f t="shared" si="18"/>
        <v>142158.14512443516</v>
      </c>
    </row>
    <row r="18" spans="1:50" x14ac:dyDescent="0.2">
      <c r="A18" s="5" t="s">
        <v>377</v>
      </c>
      <c r="B18" s="5"/>
      <c r="C18" s="22">
        <f>SUM(G18:AX18)</f>
        <v>51008522.551382504</v>
      </c>
      <c r="D18" s="22">
        <f t="shared" si="14"/>
        <v>27847219.132047318</v>
      </c>
      <c r="E18" s="22">
        <f t="shared" si="14"/>
        <v>15153993.97251701</v>
      </c>
      <c r="F18" s="22"/>
      <c r="G18" s="22">
        <f t="shared" si="15"/>
        <v>0</v>
      </c>
      <c r="H18" s="22">
        <f t="shared" si="15"/>
        <v>0</v>
      </c>
      <c r="I18" s="22">
        <f t="shared" si="15"/>
        <v>0</v>
      </c>
      <c r="J18" s="22">
        <f t="shared" si="15"/>
        <v>385741.6126560535</v>
      </c>
      <c r="K18" s="22">
        <f t="shared" si="15"/>
        <v>5491012.2579681603</v>
      </c>
      <c r="L18" s="22">
        <f t="shared" si="15"/>
        <v>1157224.8379681606</v>
      </c>
      <c r="M18" s="22">
        <f t="shared" si="15"/>
        <v>1157224.8379681606</v>
      </c>
      <c r="N18" s="22">
        <f t="shared" si="15"/>
        <v>1157224.8379681606</v>
      </c>
      <c r="O18" s="22">
        <f t="shared" si="15"/>
        <v>1157224.8379681606</v>
      </c>
      <c r="P18" s="22">
        <f t="shared" si="15"/>
        <v>1157224.8379681606</v>
      </c>
      <c r="Q18" s="22">
        <f t="shared" si="16"/>
        <v>1157224.8379681606</v>
      </c>
      <c r="R18" s="22">
        <f t="shared" si="16"/>
        <v>1157224.8379681606</v>
      </c>
      <c r="S18" s="22">
        <f t="shared" si="16"/>
        <v>1157224.8379681606</v>
      </c>
      <c r="T18" s="22">
        <f t="shared" si="16"/>
        <v>1157224.8379681606</v>
      </c>
      <c r="U18" s="22">
        <f t="shared" si="16"/>
        <v>1157224.8379681606</v>
      </c>
      <c r="V18" s="22">
        <f t="shared" si="16"/>
        <v>1157224.8379681606</v>
      </c>
      <c r="W18" s="22">
        <f t="shared" si="16"/>
        <v>1157224.8379681606</v>
      </c>
      <c r="X18" s="22">
        <f t="shared" si="16"/>
        <v>1157224.8379681606</v>
      </c>
      <c r="Y18" s="22">
        <f t="shared" si="16"/>
        <v>1157224.8379681606</v>
      </c>
      <c r="Z18" s="22">
        <f t="shared" si="16"/>
        <v>1157224.8379681606</v>
      </c>
      <c r="AA18" s="22">
        <f t="shared" si="17"/>
        <v>1157224.8379681606</v>
      </c>
      <c r="AB18" s="22">
        <f t="shared" si="17"/>
        <v>1157224.8379681606</v>
      </c>
      <c r="AC18" s="22">
        <f t="shared" si="17"/>
        <v>1157224.8379681606</v>
      </c>
      <c r="AD18" s="22">
        <f t="shared" si="17"/>
        <v>1157224.8379681606</v>
      </c>
      <c r="AE18" s="22">
        <f t="shared" si="17"/>
        <v>1157224.8379681606</v>
      </c>
      <c r="AF18" s="22">
        <f t="shared" si="17"/>
        <v>1157224.8379681606</v>
      </c>
      <c r="AG18" s="22">
        <f t="shared" si="17"/>
        <v>1157224.8379681606</v>
      </c>
      <c r="AH18" s="22">
        <f t="shared" si="17"/>
        <v>1157224.8379681606</v>
      </c>
      <c r="AI18" s="22">
        <f t="shared" si="17"/>
        <v>1157224.8379681606</v>
      </c>
      <c r="AJ18" s="22">
        <f t="shared" si="17"/>
        <v>1157224.8379681606</v>
      </c>
      <c r="AK18" s="22">
        <f t="shared" si="18"/>
        <v>1157224.8379681606</v>
      </c>
      <c r="AL18" s="22">
        <f t="shared" si="18"/>
        <v>1157224.8379681606</v>
      </c>
      <c r="AM18" s="22">
        <f t="shared" si="18"/>
        <v>1157224.8379681606</v>
      </c>
      <c r="AN18" s="22">
        <f t="shared" si="18"/>
        <v>1157224.8379681606</v>
      </c>
      <c r="AO18" s="22">
        <f t="shared" si="18"/>
        <v>1157224.8379681606</v>
      </c>
      <c r="AP18" s="22">
        <f t="shared" si="18"/>
        <v>1157224.8379681606</v>
      </c>
      <c r="AQ18" s="22">
        <f t="shared" si="18"/>
        <v>1157224.8379681606</v>
      </c>
      <c r="AR18" s="22">
        <f t="shared" si="18"/>
        <v>1157224.8379681606</v>
      </c>
      <c r="AS18" s="22">
        <f t="shared" si="18"/>
        <v>1157224.8379681606</v>
      </c>
      <c r="AT18" s="22">
        <f t="shared" si="18"/>
        <v>1157224.8379681606</v>
      </c>
      <c r="AU18" s="22">
        <f t="shared" si="18"/>
        <v>1157224.8379681606</v>
      </c>
      <c r="AV18" s="22">
        <f t="shared" si="18"/>
        <v>1157224.8379681606</v>
      </c>
      <c r="AW18" s="22">
        <f t="shared" si="18"/>
        <v>1157224.8379681606</v>
      </c>
      <c r="AX18" s="22">
        <f t="shared" si="18"/>
        <v>1157224.8379681606</v>
      </c>
    </row>
    <row r="19" spans="1:50" x14ac:dyDescent="0.2">
      <c r="A19" s="5" t="s">
        <v>32</v>
      </c>
      <c r="B19" s="5"/>
      <c r="C19" s="22">
        <f t="shared" si="13"/>
        <v>4676162.0903667957</v>
      </c>
      <c r="D19" s="22">
        <f>NPV(D$15,$G19:$AX19)</f>
        <v>2415373.5058271755</v>
      </c>
      <c r="E19" s="22">
        <f t="shared" si="14"/>
        <v>1208652.0885912117</v>
      </c>
      <c r="F19" s="22"/>
      <c r="G19" s="22">
        <f t="shared" si="15"/>
        <v>0</v>
      </c>
      <c r="H19" s="22">
        <f t="shared" si="15"/>
        <v>0</v>
      </c>
      <c r="I19" s="22">
        <f t="shared" si="15"/>
        <v>0</v>
      </c>
      <c r="J19" s="22">
        <f t="shared" si="15"/>
        <v>38645.967688981793</v>
      </c>
      <c r="K19" s="22">
        <f t="shared" si="15"/>
        <v>115937.90306694539</v>
      </c>
      <c r="L19" s="22">
        <f t="shared" si="15"/>
        <v>115937.90306694539</v>
      </c>
      <c r="M19" s="22">
        <f t="shared" si="15"/>
        <v>115937.90306694539</v>
      </c>
      <c r="N19" s="22">
        <f t="shared" si="15"/>
        <v>115937.90306694539</v>
      </c>
      <c r="O19" s="22">
        <f t="shared" si="15"/>
        <v>115937.90306694539</v>
      </c>
      <c r="P19" s="22">
        <f t="shared" si="15"/>
        <v>115937.90306694539</v>
      </c>
      <c r="Q19" s="22">
        <f t="shared" si="16"/>
        <v>115937.90306694539</v>
      </c>
      <c r="R19" s="22">
        <f t="shared" si="16"/>
        <v>115937.90306694539</v>
      </c>
      <c r="S19" s="22">
        <f t="shared" si="16"/>
        <v>115937.90306694539</v>
      </c>
      <c r="T19" s="22">
        <f t="shared" si="16"/>
        <v>115937.90306694539</v>
      </c>
      <c r="U19" s="22">
        <f t="shared" si="16"/>
        <v>115937.90306694539</v>
      </c>
      <c r="V19" s="22">
        <f t="shared" si="16"/>
        <v>115937.90306694539</v>
      </c>
      <c r="W19" s="22">
        <f t="shared" si="16"/>
        <v>115937.90306694539</v>
      </c>
      <c r="X19" s="22">
        <f t="shared" si="16"/>
        <v>115937.90306694539</v>
      </c>
      <c r="Y19" s="22">
        <f t="shared" si="16"/>
        <v>115937.90306694539</v>
      </c>
      <c r="Z19" s="22">
        <f t="shared" si="16"/>
        <v>115937.90306694539</v>
      </c>
      <c r="AA19" s="22">
        <f t="shared" si="17"/>
        <v>115937.90306694539</v>
      </c>
      <c r="AB19" s="22">
        <f t="shared" si="17"/>
        <v>115937.90306694539</v>
      </c>
      <c r="AC19" s="22">
        <f t="shared" si="17"/>
        <v>115937.90306694539</v>
      </c>
      <c r="AD19" s="22">
        <f t="shared" si="17"/>
        <v>115937.90306694539</v>
      </c>
      <c r="AE19" s="22">
        <f t="shared" si="17"/>
        <v>115937.90306694539</v>
      </c>
      <c r="AF19" s="22">
        <f t="shared" si="17"/>
        <v>115937.90306694539</v>
      </c>
      <c r="AG19" s="22">
        <f t="shared" si="17"/>
        <v>115937.90306694539</v>
      </c>
      <c r="AH19" s="22">
        <f t="shared" si="17"/>
        <v>115937.90306694539</v>
      </c>
      <c r="AI19" s="22">
        <f t="shared" si="17"/>
        <v>115937.90306694539</v>
      </c>
      <c r="AJ19" s="22">
        <f t="shared" si="17"/>
        <v>115937.90306694539</v>
      </c>
      <c r="AK19" s="22">
        <f t="shared" si="18"/>
        <v>115937.90306694539</v>
      </c>
      <c r="AL19" s="22">
        <f t="shared" si="18"/>
        <v>115937.90306694539</v>
      </c>
      <c r="AM19" s="22">
        <f t="shared" si="18"/>
        <v>115937.90306694539</v>
      </c>
      <c r="AN19" s="22">
        <f t="shared" si="18"/>
        <v>115937.90306694539</v>
      </c>
      <c r="AO19" s="22">
        <f t="shared" si="18"/>
        <v>115937.90306694539</v>
      </c>
      <c r="AP19" s="22">
        <f t="shared" si="18"/>
        <v>115937.90306694539</v>
      </c>
      <c r="AQ19" s="22">
        <f t="shared" si="18"/>
        <v>115937.90306694539</v>
      </c>
      <c r="AR19" s="22">
        <f t="shared" si="18"/>
        <v>115937.90306694539</v>
      </c>
      <c r="AS19" s="22">
        <f t="shared" si="18"/>
        <v>115937.90306694539</v>
      </c>
      <c r="AT19" s="22">
        <f t="shared" si="18"/>
        <v>115937.90306694539</v>
      </c>
      <c r="AU19" s="22">
        <f t="shared" si="18"/>
        <v>115937.90306694539</v>
      </c>
      <c r="AV19" s="22">
        <f t="shared" si="18"/>
        <v>115937.90306694539</v>
      </c>
      <c r="AW19" s="22">
        <f t="shared" si="18"/>
        <v>115937.90306694539</v>
      </c>
      <c r="AX19" s="22">
        <f t="shared" si="18"/>
        <v>115937.90306694539</v>
      </c>
    </row>
    <row r="20" spans="1:50" x14ac:dyDescent="0.2">
      <c r="A20" s="5" t="s">
        <v>33</v>
      </c>
      <c r="B20" s="5"/>
      <c r="C20" s="22">
        <f t="shared" si="13"/>
        <v>24580038.879807111</v>
      </c>
      <c r="D20" s="22">
        <f t="shared" si="14"/>
        <v>12696303.835317004</v>
      </c>
      <c r="E20" s="22">
        <f>NPV(E$15,$G20:$AX20)</f>
        <v>6353226.1618847474</v>
      </c>
      <c r="F20" s="22"/>
      <c r="G20" s="22">
        <f t="shared" si="15"/>
        <v>0</v>
      </c>
      <c r="H20" s="22">
        <f t="shared" si="15"/>
        <v>0</v>
      </c>
      <c r="I20" s="22">
        <f t="shared" si="15"/>
        <v>0</v>
      </c>
      <c r="J20" s="22">
        <f t="shared" si="15"/>
        <v>203140.81718848835</v>
      </c>
      <c r="K20" s="22">
        <f t="shared" si="15"/>
        <v>609422.45156546507</v>
      </c>
      <c r="L20" s="22">
        <f t="shared" si="15"/>
        <v>609422.45156546507</v>
      </c>
      <c r="M20" s="22">
        <f t="shared" si="15"/>
        <v>609422.45156546507</v>
      </c>
      <c r="N20" s="22">
        <f t="shared" si="15"/>
        <v>609422.45156546507</v>
      </c>
      <c r="O20" s="22">
        <f t="shared" si="15"/>
        <v>609422.45156546507</v>
      </c>
      <c r="P20" s="22">
        <f t="shared" si="15"/>
        <v>609422.45156546507</v>
      </c>
      <c r="Q20" s="22">
        <f t="shared" si="16"/>
        <v>609422.45156546507</v>
      </c>
      <c r="R20" s="22">
        <f t="shared" si="16"/>
        <v>609422.45156546507</v>
      </c>
      <c r="S20" s="22">
        <f t="shared" si="16"/>
        <v>609422.45156546507</v>
      </c>
      <c r="T20" s="22">
        <f t="shared" si="16"/>
        <v>609422.45156546507</v>
      </c>
      <c r="U20" s="22">
        <f t="shared" si="16"/>
        <v>609422.45156546507</v>
      </c>
      <c r="V20" s="22">
        <f t="shared" si="16"/>
        <v>609422.45156546507</v>
      </c>
      <c r="W20" s="22">
        <f t="shared" si="16"/>
        <v>609422.45156546507</v>
      </c>
      <c r="X20" s="22">
        <f t="shared" si="16"/>
        <v>609422.45156546507</v>
      </c>
      <c r="Y20" s="22">
        <f t="shared" si="16"/>
        <v>609422.45156546507</v>
      </c>
      <c r="Z20" s="22">
        <f t="shared" si="16"/>
        <v>609422.45156546507</v>
      </c>
      <c r="AA20" s="22">
        <f t="shared" si="17"/>
        <v>609422.45156546507</v>
      </c>
      <c r="AB20" s="22">
        <f t="shared" si="17"/>
        <v>609422.45156546507</v>
      </c>
      <c r="AC20" s="22">
        <f t="shared" si="17"/>
        <v>609422.45156546507</v>
      </c>
      <c r="AD20" s="22">
        <f t="shared" si="17"/>
        <v>609422.45156546507</v>
      </c>
      <c r="AE20" s="22">
        <f t="shared" si="17"/>
        <v>609422.45156546507</v>
      </c>
      <c r="AF20" s="22">
        <f t="shared" si="17"/>
        <v>609422.45156546507</v>
      </c>
      <c r="AG20" s="22">
        <f t="shared" si="17"/>
        <v>609422.45156546507</v>
      </c>
      <c r="AH20" s="22">
        <f t="shared" si="17"/>
        <v>609422.45156546507</v>
      </c>
      <c r="AI20" s="22">
        <f t="shared" si="17"/>
        <v>609422.45156546507</v>
      </c>
      <c r="AJ20" s="22">
        <f t="shared" si="17"/>
        <v>609422.45156546507</v>
      </c>
      <c r="AK20" s="22">
        <f t="shared" si="18"/>
        <v>609422.45156546507</v>
      </c>
      <c r="AL20" s="22">
        <f t="shared" si="18"/>
        <v>609422.45156546507</v>
      </c>
      <c r="AM20" s="22">
        <f t="shared" si="18"/>
        <v>609422.45156546507</v>
      </c>
      <c r="AN20" s="22">
        <f t="shared" si="18"/>
        <v>609422.45156546507</v>
      </c>
      <c r="AO20" s="22">
        <f t="shared" si="18"/>
        <v>609422.45156546507</v>
      </c>
      <c r="AP20" s="22">
        <f t="shared" si="18"/>
        <v>609422.45156546507</v>
      </c>
      <c r="AQ20" s="22">
        <f t="shared" si="18"/>
        <v>609422.45156546507</v>
      </c>
      <c r="AR20" s="22">
        <f t="shared" si="18"/>
        <v>609422.45156546507</v>
      </c>
      <c r="AS20" s="22">
        <f t="shared" si="18"/>
        <v>609422.45156546507</v>
      </c>
      <c r="AT20" s="22">
        <f t="shared" si="18"/>
        <v>609422.45156546507</v>
      </c>
      <c r="AU20" s="22">
        <f t="shared" si="18"/>
        <v>609422.45156546507</v>
      </c>
      <c r="AV20" s="22">
        <f t="shared" si="18"/>
        <v>609422.45156546507</v>
      </c>
      <c r="AW20" s="22">
        <f t="shared" si="18"/>
        <v>609422.45156546507</v>
      </c>
      <c r="AX20" s="22">
        <f t="shared" si="18"/>
        <v>609422.45156546507</v>
      </c>
    </row>
    <row r="21" spans="1:50" x14ac:dyDescent="0.2">
      <c r="A21" s="5" t="s">
        <v>250</v>
      </c>
      <c r="B21" s="5"/>
      <c r="C21" s="22">
        <f t="shared" si="13"/>
        <v>0</v>
      </c>
      <c r="D21" s="22">
        <f t="shared" si="14"/>
        <v>0</v>
      </c>
      <c r="E21" s="22">
        <f>NPV(E$15,$G21:$AX21)</f>
        <v>0</v>
      </c>
      <c r="F21" s="22"/>
      <c r="G21" s="22">
        <f t="shared" si="15"/>
        <v>0</v>
      </c>
      <c r="H21" s="22">
        <f t="shared" si="15"/>
        <v>0</v>
      </c>
      <c r="I21" s="22">
        <f t="shared" si="15"/>
        <v>0</v>
      </c>
      <c r="J21" s="22">
        <f t="shared" si="15"/>
        <v>0</v>
      </c>
      <c r="K21" s="22">
        <f t="shared" si="15"/>
        <v>0</v>
      </c>
      <c r="L21" s="22">
        <f t="shared" si="15"/>
        <v>0</v>
      </c>
      <c r="M21" s="22">
        <f t="shared" si="15"/>
        <v>0</v>
      </c>
      <c r="N21" s="22">
        <f t="shared" si="15"/>
        <v>0</v>
      </c>
      <c r="O21" s="22">
        <f t="shared" si="15"/>
        <v>0</v>
      </c>
      <c r="P21" s="22">
        <f t="shared" si="15"/>
        <v>0</v>
      </c>
      <c r="Q21" s="22">
        <f t="shared" si="16"/>
        <v>0</v>
      </c>
      <c r="R21" s="22">
        <f t="shared" si="16"/>
        <v>0</v>
      </c>
      <c r="S21" s="22">
        <f t="shared" si="16"/>
        <v>0</v>
      </c>
      <c r="T21" s="22">
        <f t="shared" si="16"/>
        <v>0</v>
      </c>
      <c r="U21" s="22">
        <f t="shared" si="16"/>
        <v>0</v>
      </c>
      <c r="V21" s="22">
        <f t="shared" si="16"/>
        <v>0</v>
      </c>
      <c r="W21" s="22">
        <f t="shared" si="16"/>
        <v>0</v>
      </c>
      <c r="X21" s="22">
        <f t="shared" si="16"/>
        <v>0</v>
      </c>
      <c r="Y21" s="22">
        <f t="shared" si="16"/>
        <v>0</v>
      </c>
      <c r="Z21" s="22">
        <f t="shared" si="16"/>
        <v>0</v>
      </c>
      <c r="AA21" s="22">
        <f t="shared" si="17"/>
        <v>0</v>
      </c>
      <c r="AB21" s="22">
        <f t="shared" si="17"/>
        <v>0</v>
      </c>
      <c r="AC21" s="22">
        <f t="shared" si="17"/>
        <v>0</v>
      </c>
      <c r="AD21" s="22">
        <f t="shared" si="17"/>
        <v>0</v>
      </c>
      <c r="AE21" s="22">
        <f t="shared" si="17"/>
        <v>0</v>
      </c>
      <c r="AF21" s="22">
        <f t="shared" si="17"/>
        <v>0</v>
      </c>
      <c r="AG21" s="22">
        <f t="shared" si="17"/>
        <v>0</v>
      </c>
      <c r="AH21" s="22">
        <f t="shared" si="17"/>
        <v>0</v>
      </c>
      <c r="AI21" s="22">
        <f t="shared" si="17"/>
        <v>0</v>
      </c>
      <c r="AJ21" s="22">
        <f t="shared" si="17"/>
        <v>0</v>
      </c>
      <c r="AK21" s="22">
        <f t="shared" si="18"/>
        <v>0</v>
      </c>
      <c r="AL21" s="22">
        <f t="shared" si="18"/>
        <v>0</v>
      </c>
      <c r="AM21" s="22">
        <f t="shared" si="18"/>
        <v>0</v>
      </c>
      <c r="AN21" s="22">
        <f t="shared" si="18"/>
        <v>0</v>
      </c>
      <c r="AO21" s="22">
        <f t="shared" si="18"/>
        <v>0</v>
      </c>
      <c r="AP21" s="22">
        <f t="shared" si="18"/>
        <v>0</v>
      </c>
      <c r="AQ21" s="22">
        <f t="shared" si="18"/>
        <v>0</v>
      </c>
      <c r="AR21" s="22">
        <f t="shared" si="18"/>
        <v>0</v>
      </c>
      <c r="AS21" s="22">
        <f t="shared" si="18"/>
        <v>0</v>
      </c>
      <c r="AT21" s="22">
        <f t="shared" si="18"/>
        <v>0</v>
      </c>
      <c r="AU21" s="22">
        <f t="shared" si="18"/>
        <v>0</v>
      </c>
      <c r="AV21" s="22">
        <f t="shared" si="18"/>
        <v>0</v>
      </c>
      <c r="AW21" s="22">
        <f t="shared" si="18"/>
        <v>0</v>
      </c>
      <c r="AX21" s="22">
        <f t="shared" si="18"/>
        <v>0</v>
      </c>
    </row>
    <row r="22" spans="1:50" s="8" customFormat="1" x14ac:dyDescent="0.2">
      <c r="A22" s="27" t="s">
        <v>34</v>
      </c>
      <c r="B22" s="27"/>
      <c r="C22" s="28">
        <f>SUM(C16:C21)</f>
        <v>87415816.561825678</v>
      </c>
      <c r="D22" s="28">
        <f>SUM(D16:D21)</f>
        <v>46652643.681560114</v>
      </c>
      <c r="E22" s="28">
        <f>SUM(E16:E21)</f>
        <v>24564222.081659555</v>
      </c>
      <c r="F22" s="28"/>
      <c r="G22" s="28">
        <f t="shared" ref="G22:AX22" si="19">SUM(G16:G21)</f>
        <v>0</v>
      </c>
      <c r="H22" s="28">
        <f t="shared" si="19"/>
        <v>0</v>
      </c>
      <c r="I22" s="28">
        <f t="shared" si="19"/>
        <v>0</v>
      </c>
      <c r="J22" s="28">
        <f t="shared" si="19"/>
        <v>686628.34001508786</v>
      </c>
      <c r="K22" s="28">
        <f t="shared" si="19"/>
        <v>6393672.4400452627</v>
      </c>
      <c r="L22" s="28">
        <f t="shared" si="19"/>
        <v>2059885.0200452637</v>
      </c>
      <c r="M22" s="28">
        <f t="shared" si="19"/>
        <v>2059885.0200452637</v>
      </c>
      <c r="N22" s="28">
        <f t="shared" si="19"/>
        <v>2059885.0200452637</v>
      </c>
      <c r="O22" s="28">
        <f t="shared" si="19"/>
        <v>2059885.0200452637</v>
      </c>
      <c r="P22" s="28">
        <f t="shared" si="19"/>
        <v>2059885.0200452637</v>
      </c>
      <c r="Q22" s="28">
        <f t="shared" si="19"/>
        <v>2059885.0200452637</v>
      </c>
      <c r="R22" s="28">
        <f t="shared" si="19"/>
        <v>2059885.0200452637</v>
      </c>
      <c r="S22" s="28">
        <f t="shared" si="19"/>
        <v>2059885.0200452637</v>
      </c>
      <c r="T22" s="28">
        <f t="shared" si="19"/>
        <v>2059885.0200452637</v>
      </c>
      <c r="U22" s="28">
        <f t="shared" si="19"/>
        <v>2059885.0200452637</v>
      </c>
      <c r="V22" s="28">
        <f t="shared" si="19"/>
        <v>2059885.0200452637</v>
      </c>
      <c r="W22" s="28">
        <f t="shared" si="19"/>
        <v>2059885.0200452637</v>
      </c>
      <c r="X22" s="28">
        <f t="shared" si="19"/>
        <v>2059885.0200452637</v>
      </c>
      <c r="Y22" s="28">
        <f t="shared" si="19"/>
        <v>2059885.0200452637</v>
      </c>
      <c r="Z22" s="28">
        <f t="shared" si="19"/>
        <v>2059885.0200452637</v>
      </c>
      <c r="AA22" s="28">
        <f t="shared" si="19"/>
        <v>2059885.0200452637</v>
      </c>
      <c r="AB22" s="28">
        <f t="shared" si="19"/>
        <v>2059885.0200452637</v>
      </c>
      <c r="AC22" s="28">
        <f t="shared" si="19"/>
        <v>2059885.0200452637</v>
      </c>
      <c r="AD22" s="28">
        <f t="shared" si="19"/>
        <v>2059885.0200452637</v>
      </c>
      <c r="AE22" s="28">
        <f t="shared" si="19"/>
        <v>2059885.0200452637</v>
      </c>
      <c r="AF22" s="28">
        <f t="shared" si="19"/>
        <v>2059885.0200452637</v>
      </c>
      <c r="AG22" s="28">
        <f t="shared" si="19"/>
        <v>2059885.0200452637</v>
      </c>
      <c r="AH22" s="28">
        <f t="shared" si="19"/>
        <v>2059885.0200452637</v>
      </c>
      <c r="AI22" s="28">
        <f t="shared" si="19"/>
        <v>2059885.0200452637</v>
      </c>
      <c r="AJ22" s="28">
        <f t="shared" si="19"/>
        <v>2059885.0200452637</v>
      </c>
      <c r="AK22" s="28">
        <f t="shared" si="19"/>
        <v>2059885.0200452637</v>
      </c>
      <c r="AL22" s="28">
        <f t="shared" si="19"/>
        <v>2059885.0200452637</v>
      </c>
      <c r="AM22" s="28">
        <f t="shared" si="19"/>
        <v>2059885.0200452637</v>
      </c>
      <c r="AN22" s="28">
        <f t="shared" si="19"/>
        <v>2059885.0200452637</v>
      </c>
      <c r="AO22" s="28">
        <f t="shared" si="19"/>
        <v>2059885.0200452637</v>
      </c>
      <c r="AP22" s="28">
        <f t="shared" si="19"/>
        <v>2059885.0200452637</v>
      </c>
      <c r="AQ22" s="28">
        <f t="shared" si="19"/>
        <v>2059885.0200452637</v>
      </c>
      <c r="AR22" s="28">
        <f t="shared" si="19"/>
        <v>2059885.0200452637</v>
      </c>
      <c r="AS22" s="28">
        <f t="shared" si="19"/>
        <v>2059885.0200452637</v>
      </c>
      <c r="AT22" s="28">
        <f t="shared" si="19"/>
        <v>2059885.0200452637</v>
      </c>
      <c r="AU22" s="28">
        <f t="shared" si="19"/>
        <v>2059885.0200452637</v>
      </c>
      <c r="AV22" s="28">
        <f t="shared" si="19"/>
        <v>2059885.0200452637</v>
      </c>
      <c r="AW22" s="28">
        <f t="shared" si="19"/>
        <v>2059885.0200452637</v>
      </c>
      <c r="AX22" s="29">
        <f t="shared" si="19"/>
        <v>2059885.0200452637</v>
      </c>
    </row>
    <row r="23" spans="1:50" x14ac:dyDescent="0.2">
      <c r="B23" s="5"/>
      <c r="AX23" s="11"/>
    </row>
    <row r="24" spans="1:50" x14ac:dyDescent="0.2">
      <c r="A24" s="21" t="s">
        <v>35</v>
      </c>
      <c r="B24" s="21"/>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6"/>
    </row>
    <row r="25" spans="1:50" x14ac:dyDescent="0.2">
      <c r="A25" s="5" t="s">
        <v>215</v>
      </c>
      <c r="B25" s="5"/>
      <c r="C25" s="22">
        <f>SUM(G25:AX25)</f>
        <v>23290000</v>
      </c>
      <c r="D25" s="25">
        <f>NPV(D$15,$G25:$AX25)</f>
        <v>21319857.105338871</v>
      </c>
      <c r="E25" s="25">
        <f>NPV(E$15,$G25:$AX25)</f>
        <v>19040598.340952631</v>
      </c>
      <c r="F25" s="22"/>
      <c r="G25" s="121">
        <f>HLOOKUP(G1,'12-Project Costs'!$B$11:$F$14,4,FALSE)</f>
        <v>0</v>
      </c>
      <c r="H25" s="121">
        <f>HLOOKUP(H1,'12-Project Costs'!$B$11:$F$14,4,FALSE)</f>
        <v>7763333.333333334</v>
      </c>
      <c r="I25" s="121">
        <f>HLOOKUP(I1,'12-Project Costs'!$B$11:$F$14,4,FALSE)</f>
        <v>7763333.333333334</v>
      </c>
      <c r="J25" s="121">
        <f>HLOOKUP(J1,'12-Project Costs'!$B$11:$F$14,4,FALSE)</f>
        <v>7763333.333333334</v>
      </c>
      <c r="K25" s="121">
        <f>HLOOKUP(K1,'12-Project Costs'!$B$11:$F$14,4,FALSE)</f>
        <v>0</v>
      </c>
      <c r="L25" s="22">
        <v>0</v>
      </c>
      <c r="M25" s="22">
        <v>0</v>
      </c>
      <c r="N25" s="10">
        <v>0</v>
      </c>
      <c r="O25" s="10">
        <v>0</v>
      </c>
      <c r="P25" s="10">
        <v>0</v>
      </c>
      <c r="Q25" s="10">
        <v>0</v>
      </c>
      <c r="R25" s="10">
        <v>0</v>
      </c>
      <c r="S25" s="10">
        <v>0</v>
      </c>
      <c r="T25" s="10">
        <v>0</v>
      </c>
      <c r="U25" s="10">
        <v>0</v>
      </c>
      <c r="V25" s="10">
        <v>0</v>
      </c>
      <c r="W25" s="10">
        <v>0</v>
      </c>
      <c r="X25" s="10">
        <v>0</v>
      </c>
      <c r="Y25" s="10">
        <v>0</v>
      </c>
      <c r="Z25" s="10">
        <v>0</v>
      </c>
      <c r="AA25" s="10">
        <v>0</v>
      </c>
      <c r="AB25" s="10">
        <v>0</v>
      </c>
      <c r="AC25" s="10">
        <v>0</v>
      </c>
      <c r="AD25" s="10">
        <v>0</v>
      </c>
      <c r="AE25" s="10">
        <v>0</v>
      </c>
      <c r="AF25" s="10">
        <v>0</v>
      </c>
      <c r="AG25" s="10">
        <v>0</v>
      </c>
      <c r="AH25" s="10">
        <v>0</v>
      </c>
      <c r="AI25" s="10">
        <v>0</v>
      </c>
      <c r="AJ25" s="10">
        <v>0</v>
      </c>
      <c r="AK25" s="10">
        <v>0</v>
      </c>
      <c r="AL25" s="10">
        <v>0</v>
      </c>
      <c r="AM25" s="10">
        <v>0</v>
      </c>
      <c r="AN25" s="10">
        <v>0</v>
      </c>
      <c r="AO25" s="10">
        <v>0</v>
      </c>
      <c r="AP25" s="10">
        <v>0</v>
      </c>
      <c r="AQ25" s="10">
        <v>0</v>
      </c>
      <c r="AR25" s="10">
        <v>0</v>
      </c>
      <c r="AS25" s="10">
        <v>0</v>
      </c>
      <c r="AT25" s="10">
        <v>0</v>
      </c>
      <c r="AU25" s="10">
        <v>0</v>
      </c>
      <c r="AV25" s="10">
        <v>0</v>
      </c>
      <c r="AW25" s="10">
        <v>0</v>
      </c>
      <c r="AX25" s="23">
        <v>0</v>
      </c>
    </row>
    <row r="26" spans="1:50" x14ac:dyDescent="0.2">
      <c r="A26" s="31" t="s">
        <v>378</v>
      </c>
      <c r="B26" s="31"/>
      <c r="C26" s="22">
        <f>SUM(G26:AX26)</f>
        <v>9120000</v>
      </c>
      <c r="D26" s="25">
        <f>NPV(D$15,$G26:$AX26)</f>
        <v>4682476.0173303895</v>
      </c>
      <c r="E26" s="25">
        <f>NPV(E$15,$G26:$AX26)</f>
        <v>2318918.8805369837</v>
      </c>
      <c r="F26" s="22"/>
      <c r="G26" s="22">
        <v>0</v>
      </c>
      <c r="H26" s="22">
        <v>0</v>
      </c>
      <c r="I26" s="10">
        <v>0</v>
      </c>
      <c r="J26" s="22">
        <v>0</v>
      </c>
      <c r="K26" s="22">
        <f>'12-Project Costs'!D32</f>
        <v>228000</v>
      </c>
      <c r="L26" s="22">
        <f t="shared" ref="L26:AX26" si="20">K26</f>
        <v>228000</v>
      </c>
      <c r="M26" s="22">
        <f t="shared" si="20"/>
        <v>228000</v>
      </c>
      <c r="N26" s="22">
        <f t="shared" si="20"/>
        <v>228000</v>
      </c>
      <c r="O26" s="22">
        <f t="shared" si="20"/>
        <v>228000</v>
      </c>
      <c r="P26" s="22">
        <f t="shared" si="20"/>
        <v>228000</v>
      </c>
      <c r="Q26" s="22">
        <f t="shared" si="20"/>
        <v>228000</v>
      </c>
      <c r="R26" s="22">
        <f t="shared" si="20"/>
        <v>228000</v>
      </c>
      <c r="S26" s="22">
        <f t="shared" si="20"/>
        <v>228000</v>
      </c>
      <c r="T26" s="22">
        <f t="shared" si="20"/>
        <v>228000</v>
      </c>
      <c r="U26" s="22">
        <f t="shared" si="20"/>
        <v>228000</v>
      </c>
      <c r="V26" s="22">
        <f t="shared" si="20"/>
        <v>228000</v>
      </c>
      <c r="W26" s="22">
        <f t="shared" si="20"/>
        <v>228000</v>
      </c>
      <c r="X26" s="22">
        <f t="shared" si="20"/>
        <v>228000</v>
      </c>
      <c r="Y26" s="22">
        <f t="shared" si="20"/>
        <v>228000</v>
      </c>
      <c r="Z26" s="22">
        <f t="shared" si="20"/>
        <v>228000</v>
      </c>
      <c r="AA26" s="22">
        <f t="shared" si="20"/>
        <v>228000</v>
      </c>
      <c r="AB26" s="22">
        <f t="shared" si="20"/>
        <v>228000</v>
      </c>
      <c r="AC26" s="22">
        <f t="shared" si="20"/>
        <v>228000</v>
      </c>
      <c r="AD26" s="22">
        <f t="shared" si="20"/>
        <v>228000</v>
      </c>
      <c r="AE26" s="22">
        <f t="shared" si="20"/>
        <v>228000</v>
      </c>
      <c r="AF26" s="22">
        <f t="shared" si="20"/>
        <v>228000</v>
      </c>
      <c r="AG26" s="22">
        <f t="shared" si="20"/>
        <v>228000</v>
      </c>
      <c r="AH26" s="22">
        <f t="shared" si="20"/>
        <v>228000</v>
      </c>
      <c r="AI26" s="22">
        <f t="shared" si="20"/>
        <v>228000</v>
      </c>
      <c r="AJ26" s="22">
        <f t="shared" si="20"/>
        <v>228000</v>
      </c>
      <c r="AK26" s="22">
        <f t="shared" si="20"/>
        <v>228000</v>
      </c>
      <c r="AL26" s="22">
        <f t="shared" si="20"/>
        <v>228000</v>
      </c>
      <c r="AM26" s="22">
        <f t="shared" si="20"/>
        <v>228000</v>
      </c>
      <c r="AN26" s="22">
        <f t="shared" si="20"/>
        <v>228000</v>
      </c>
      <c r="AO26" s="22">
        <f t="shared" si="20"/>
        <v>228000</v>
      </c>
      <c r="AP26" s="22">
        <f t="shared" si="20"/>
        <v>228000</v>
      </c>
      <c r="AQ26" s="22">
        <f t="shared" si="20"/>
        <v>228000</v>
      </c>
      <c r="AR26" s="22">
        <f t="shared" si="20"/>
        <v>228000</v>
      </c>
      <c r="AS26" s="22">
        <f t="shared" si="20"/>
        <v>228000</v>
      </c>
      <c r="AT26" s="22">
        <f t="shared" si="20"/>
        <v>228000</v>
      </c>
      <c r="AU26" s="22">
        <f t="shared" si="20"/>
        <v>228000</v>
      </c>
      <c r="AV26" s="22">
        <f t="shared" si="20"/>
        <v>228000</v>
      </c>
      <c r="AW26" s="22">
        <f t="shared" si="20"/>
        <v>228000</v>
      </c>
      <c r="AX26" s="22">
        <f t="shared" si="20"/>
        <v>228000</v>
      </c>
    </row>
    <row r="27" spans="1:50" x14ac:dyDescent="0.2">
      <c r="A27" s="27" t="s">
        <v>7</v>
      </c>
      <c r="B27" s="27"/>
      <c r="C27" s="28">
        <f>SUM(C25:C26)</f>
        <v>32410000</v>
      </c>
      <c r="D27" s="28">
        <f>SUM(D25:D26)</f>
        <v>26002333.122669261</v>
      </c>
      <c r="E27" s="28">
        <f>SUM(E25:E26)</f>
        <v>21359517.221489616</v>
      </c>
      <c r="F27" s="28"/>
      <c r="G27" s="28">
        <f t="shared" ref="G27:AX27" si="21">SUM(G25:G26)</f>
        <v>0</v>
      </c>
      <c r="H27" s="28">
        <f t="shared" si="21"/>
        <v>7763333.333333334</v>
      </c>
      <c r="I27" s="28">
        <f t="shared" si="21"/>
        <v>7763333.333333334</v>
      </c>
      <c r="J27" s="28">
        <f t="shared" si="21"/>
        <v>7763333.333333334</v>
      </c>
      <c r="K27" s="28">
        <f t="shared" si="21"/>
        <v>228000</v>
      </c>
      <c r="L27" s="28">
        <f t="shared" si="21"/>
        <v>228000</v>
      </c>
      <c r="M27" s="28">
        <f t="shared" si="21"/>
        <v>228000</v>
      </c>
      <c r="N27" s="28">
        <f t="shared" si="21"/>
        <v>228000</v>
      </c>
      <c r="O27" s="28">
        <f t="shared" si="21"/>
        <v>228000</v>
      </c>
      <c r="P27" s="28">
        <f t="shared" si="21"/>
        <v>228000</v>
      </c>
      <c r="Q27" s="28">
        <f t="shared" si="21"/>
        <v>228000</v>
      </c>
      <c r="R27" s="28">
        <f t="shared" si="21"/>
        <v>228000</v>
      </c>
      <c r="S27" s="28">
        <f t="shared" si="21"/>
        <v>228000</v>
      </c>
      <c r="T27" s="28">
        <f t="shared" si="21"/>
        <v>228000</v>
      </c>
      <c r="U27" s="28">
        <f t="shared" si="21"/>
        <v>228000</v>
      </c>
      <c r="V27" s="28">
        <f t="shared" si="21"/>
        <v>228000</v>
      </c>
      <c r="W27" s="28">
        <f t="shared" si="21"/>
        <v>228000</v>
      </c>
      <c r="X27" s="28">
        <f t="shared" si="21"/>
        <v>228000</v>
      </c>
      <c r="Y27" s="28">
        <f t="shared" si="21"/>
        <v>228000</v>
      </c>
      <c r="Z27" s="28">
        <f t="shared" si="21"/>
        <v>228000</v>
      </c>
      <c r="AA27" s="28">
        <f t="shared" si="21"/>
        <v>228000</v>
      </c>
      <c r="AB27" s="28">
        <f t="shared" si="21"/>
        <v>228000</v>
      </c>
      <c r="AC27" s="28">
        <f t="shared" si="21"/>
        <v>228000</v>
      </c>
      <c r="AD27" s="28">
        <f t="shared" si="21"/>
        <v>228000</v>
      </c>
      <c r="AE27" s="28">
        <f t="shared" si="21"/>
        <v>228000</v>
      </c>
      <c r="AF27" s="28">
        <f t="shared" si="21"/>
        <v>228000</v>
      </c>
      <c r="AG27" s="28">
        <f t="shared" si="21"/>
        <v>228000</v>
      </c>
      <c r="AH27" s="28">
        <f t="shared" si="21"/>
        <v>228000</v>
      </c>
      <c r="AI27" s="28">
        <f t="shared" si="21"/>
        <v>228000</v>
      </c>
      <c r="AJ27" s="28">
        <f t="shared" si="21"/>
        <v>228000</v>
      </c>
      <c r="AK27" s="28">
        <f t="shared" si="21"/>
        <v>228000</v>
      </c>
      <c r="AL27" s="28">
        <f t="shared" si="21"/>
        <v>228000</v>
      </c>
      <c r="AM27" s="28">
        <f t="shared" si="21"/>
        <v>228000</v>
      </c>
      <c r="AN27" s="28">
        <f t="shared" si="21"/>
        <v>228000</v>
      </c>
      <c r="AO27" s="28">
        <f t="shared" si="21"/>
        <v>228000</v>
      </c>
      <c r="AP27" s="28">
        <f t="shared" si="21"/>
        <v>228000</v>
      </c>
      <c r="AQ27" s="28">
        <f t="shared" si="21"/>
        <v>228000</v>
      </c>
      <c r="AR27" s="28">
        <f t="shared" si="21"/>
        <v>228000</v>
      </c>
      <c r="AS27" s="28">
        <f t="shared" si="21"/>
        <v>228000</v>
      </c>
      <c r="AT27" s="28">
        <f t="shared" si="21"/>
        <v>228000</v>
      </c>
      <c r="AU27" s="28">
        <f t="shared" si="21"/>
        <v>228000</v>
      </c>
      <c r="AV27" s="28">
        <f t="shared" si="21"/>
        <v>228000</v>
      </c>
      <c r="AW27" s="28">
        <f t="shared" si="21"/>
        <v>228000</v>
      </c>
      <c r="AX27" s="28">
        <f t="shared" si="21"/>
        <v>228000</v>
      </c>
    </row>
    <row r="28" spans="1:50" x14ac:dyDescent="0.2">
      <c r="B28" s="5"/>
      <c r="AX28" s="7"/>
    </row>
    <row r="29" spans="1:50" x14ac:dyDescent="0.2">
      <c r="A29" s="27" t="s">
        <v>36</v>
      </c>
      <c r="B29" s="27"/>
      <c r="C29" s="28">
        <f>C22-C27</f>
        <v>55005816.561825678</v>
      </c>
      <c r="D29" s="28">
        <f>D22-D27</f>
        <v>20650310.558890853</v>
      </c>
      <c r="E29" s="28">
        <f>E22-E27</f>
        <v>3204704.8601699397</v>
      </c>
      <c r="F29" s="28"/>
      <c r="G29" s="28">
        <f t="shared" ref="G29:AX29" si="22">G22-G27</f>
        <v>0</v>
      </c>
      <c r="H29" s="28">
        <f t="shared" si="22"/>
        <v>-7763333.333333334</v>
      </c>
      <c r="I29" s="28">
        <f t="shared" si="22"/>
        <v>-7763333.333333334</v>
      </c>
      <c r="J29" s="28">
        <f t="shared" si="22"/>
        <v>-7076704.9933182457</v>
      </c>
      <c r="K29" s="28">
        <f t="shared" si="22"/>
        <v>6165672.4400452627</v>
      </c>
      <c r="L29" s="28">
        <f t="shared" si="22"/>
        <v>1831885.0200452637</v>
      </c>
      <c r="M29" s="28">
        <f t="shared" si="22"/>
        <v>1831885.0200452637</v>
      </c>
      <c r="N29" s="28">
        <f t="shared" si="22"/>
        <v>1831885.0200452637</v>
      </c>
      <c r="O29" s="28">
        <f t="shared" si="22"/>
        <v>1831885.0200452637</v>
      </c>
      <c r="P29" s="28">
        <f t="shared" si="22"/>
        <v>1831885.0200452637</v>
      </c>
      <c r="Q29" s="28">
        <f t="shared" si="22"/>
        <v>1831885.0200452637</v>
      </c>
      <c r="R29" s="28">
        <f t="shared" si="22"/>
        <v>1831885.0200452637</v>
      </c>
      <c r="S29" s="28">
        <f t="shared" si="22"/>
        <v>1831885.0200452637</v>
      </c>
      <c r="T29" s="28">
        <f t="shared" si="22"/>
        <v>1831885.0200452637</v>
      </c>
      <c r="U29" s="28">
        <f t="shared" si="22"/>
        <v>1831885.0200452637</v>
      </c>
      <c r="V29" s="28">
        <f t="shared" si="22"/>
        <v>1831885.0200452637</v>
      </c>
      <c r="W29" s="28">
        <f t="shared" si="22"/>
        <v>1831885.0200452637</v>
      </c>
      <c r="X29" s="28">
        <f t="shared" si="22"/>
        <v>1831885.0200452637</v>
      </c>
      <c r="Y29" s="28">
        <f t="shared" si="22"/>
        <v>1831885.0200452637</v>
      </c>
      <c r="Z29" s="28">
        <f t="shared" si="22"/>
        <v>1831885.0200452637</v>
      </c>
      <c r="AA29" s="28">
        <f t="shared" si="22"/>
        <v>1831885.0200452637</v>
      </c>
      <c r="AB29" s="28">
        <f t="shared" si="22"/>
        <v>1831885.0200452637</v>
      </c>
      <c r="AC29" s="28">
        <f t="shared" si="22"/>
        <v>1831885.0200452637</v>
      </c>
      <c r="AD29" s="28">
        <f t="shared" si="22"/>
        <v>1831885.0200452637</v>
      </c>
      <c r="AE29" s="28">
        <f t="shared" si="22"/>
        <v>1831885.0200452637</v>
      </c>
      <c r="AF29" s="28">
        <f t="shared" si="22"/>
        <v>1831885.0200452637</v>
      </c>
      <c r="AG29" s="28">
        <f t="shared" si="22"/>
        <v>1831885.0200452637</v>
      </c>
      <c r="AH29" s="28">
        <f t="shared" si="22"/>
        <v>1831885.0200452637</v>
      </c>
      <c r="AI29" s="28">
        <f t="shared" si="22"/>
        <v>1831885.0200452637</v>
      </c>
      <c r="AJ29" s="28">
        <f t="shared" si="22"/>
        <v>1831885.0200452637</v>
      </c>
      <c r="AK29" s="28">
        <f t="shared" si="22"/>
        <v>1831885.0200452637</v>
      </c>
      <c r="AL29" s="28">
        <f t="shared" si="22"/>
        <v>1831885.0200452637</v>
      </c>
      <c r="AM29" s="28">
        <f t="shared" si="22"/>
        <v>1831885.0200452637</v>
      </c>
      <c r="AN29" s="28">
        <f t="shared" si="22"/>
        <v>1831885.0200452637</v>
      </c>
      <c r="AO29" s="28">
        <f t="shared" si="22"/>
        <v>1831885.0200452637</v>
      </c>
      <c r="AP29" s="28">
        <f t="shared" si="22"/>
        <v>1831885.0200452637</v>
      </c>
      <c r="AQ29" s="28">
        <f t="shared" si="22"/>
        <v>1831885.0200452637</v>
      </c>
      <c r="AR29" s="28">
        <f t="shared" si="22"/>
        <v>1831885.0200452637</v>
      </c>
      <c r="AS29" s="28">
        <f t="shared" si="22"/>
        <v>1831885.0200452637</v>
      </c>
      <c r="AT29" s="28">
        <f t="shared" si="22"/>
        <v>1831885.0200452637</v>
      </c>
      <c r="AU29" s="28">
        <f t="shared" si="22"/>
        <v>1831885.0200452637</v>
      </c>
      <c r="AV29" s="28">
        <f t="shared" si="22"/>
        <v>1831885.0200452637</v>
      </c>
      <c r="AW29" s="28">
        <f t="shared" si="22"/>
        <v>1831885.0200452637</v>
      </c>
      <c r="AX29" s="29">
        <f t="shared" si="22"/>
        <v>1831885.0200452637</v>
      </c>
    </row>
    <row r="30" spans="1:50" x14ac:dyDescent="0.2">
      <c r="B30" s="5"/>
    </row>
    <row r="31" spans="1:50" x14ac:dyDescent="0.2">
      <c r="B31" s="42" t="s">
        <v>172</v>
      </c>
      <c r="C31" s="70">
        <v>0.03</v>
      </c>
      <c r="D31" s="22">
        <f>SUM(G31:AX31)</f>
        <v>20650310.558890887</v>
      </c>
      <c r="E31" s="49"/>
      <c r="F31" s="49"/>
      <c r="G31" s="22">
        <f t="shared" ref="G31:P32" si="23">G$29/(1+$C31)^(G$14-$G$14+1)</f>
        <v>0</v>
      </c>
      <c r="H31" s="22">
        <f t="shared" si="23"/>
        <v>-7317686.241241714</v>
      </c>
      <c r="I31" s="22">
        <f t="shared" si="23"/>
        <v>-7104549.7487783628</v>
      </c>
      <c r="J31" s="22">
        <f t="shared" si="23"/>
        <v>-6287560.7284835437</v>
      </c>
      <c r="K31" s="22">
        <f t="shared" si="23"/>
        <v>5318563.208418387</v>
      </c>
      <c r="L31" s="22">
        <f t="shared" si="23"/>
        <v>1534174.8643425291</v>
      </c>
      <c r="M31" s="22">
        <f t="shared" si="23"/>
        <v>1489490.1595558533</v>
      </c>
      <c r="N31" s="22">
        <f t="shared" si="23"/>
        <v>1446106.9510251004</v>
      </c>
      <c r="O31" s="22">
        <f t="shared" si="23"/>
        <v>1403987.3310923306</v>
      </c>
      <c r="P31" s="22">
        <f t="shared" si="23"/>
        <v>1363094.4962061462</v>
      </c>
      <c r="Q31" s="22">
        <f t="shared" ref="Q31:Z32" si="24">Q$29/(1+$C31)^(Q$14-$G$14+1)</f>
        <v>1323392.7147632486</v>
      </c>
      <c r="R31" s="22">
        <f t="shared" si="24"/>
        <v>1284847.2958866493</v>
      </c>
      <c r="S31" s="22">
        <f t="shared" si="24"/>
        <v>1247424.559113252</v>
      </c>
      <c r="T31" s="22">
        <f t="shared" si="24"/>
        <v>1211091.8049643221</v>
      </c>
      <c r="U31" s="22">
        <f t="shared" si="24"/>
        <v>1175817.2863731282</v>
      </c>
      <c r="V31" s="22">
        <f t="shared" si="24"/>
        <v>1141570.1809447848</v>
      </c>
      <c r="W31" s="22">
        <f t="shared" si="24"/>
        <v>1108320.5640240628</v>
      </c>
      <c r="X31" s="22">
        <f t="shared" si="24"/>
        <v>1076039.382547634</v>
      </c>
      <c r="Y31" s="22">
        <f t="shared" si="24"/>
        <v>1044698.429657897</v>
      </c>
      <c r="Z31" s="22">
        <f t="shared" si="24"/>
        <v>1014270.3200562107</v>
      </c>
      <c r="AA31" s="22">
        <f t="shared" ref="AA31:AJ32" si="25">AA$29/(1+$C31)^(AA$14-$G$14+1)</f>
        <v>984728.46607399115</v>
      </c>
      <c r="AB31" s="22">
        <f t="shared" si="25"/>
        <v>956047.05444076797</v>
      </c>
      <c r="AC31" s="22">
        <f t="shared" si="25"/>
        <v>928201.02372890094</v>
      </c>
      <c r="AD31" s="22">
        <f t="shared" si="25"/>
        <v>901166.04245524376</v>
      </c>
      <c r="AE31" s="22">
        <f t="shared" si="25"/>
        <v>874918.48782062496</v>
      </c>
      <c r="AF31" s="22">
        <f t="shared" si="25"/>
        <v>849435.42506856786</v>
      </c>
      <c r="AG31" s="22">
        <f t="shared" si="25"/>
        <v>824694.5874452116</v>
      </c>
      <c r="AH31" s="22">
        <f t="shared" si="25"/>
        <v>800674.35674292385</v>
      </c>
      <c r="AI31" s="22">
        <f t="shared" si="25"/>
        <v>777353.74441060575</v>
      </c>
      <c r="AJ31" s="22">
        <f t="shared" si="25"/>
        <v>754712.37321418035</v>
      </c>
      <c r="AK31" s="22">
        <f t="shared" ref="AK31:AX32" si="26">AK$29/(1+$C31)^(AK$14-$G$14+1)</f>
        <v>732730.4594312429</v>
      </c>
      <c r="AL31" s="22">
        <f t="shared" si="26"/>
        <v>711388.79556431365</v>
      </c>
      <c r="AM31" s="22">
        <f t="shared" si="26"/>
        <v>690668.73355758609</v>
      </c>
      <c r="AN31" s="22">
        <f t="shared" si="26"/>
        <v>670552.16850251087</v>
      </c>
      <c r="AO31" s="22">
        <f t="shared" si="26"/>
        <v>651021.52281797165</v>
      </c>
      <c r="AP31" s="22">
        <f t="shared" si="26"/>
        <v>632059.73089123459</v>
      </c>
      <c r="AQ31" s="22">
        <f t="shared" si="26"/>
        <v>613650.2241662473</v>
      </c>
      <c r="AR31" s="22">
        <f t="shared" si="26"/>
        <v>595776.91666625952</v>
      </c>
      <c r="AS31" s="22">
        <f t="shared" si="26"/>
        <v>578424.19093811593</v>
      </c>
      <c r="AT31" s="22">
        <f t="shared" si="26"/>
        <v>561576.88440593786</v>
      </c>
      <c r="AU31" s="22">
        <f t="shared" si="26"/>
        <v>545220.2761222698</v>
      </c>
      <c r="AV31" s="22">
        <f t="shared" si="26"/>
        <v>529340.07390511618</v>
      </c>
      <c r="AW31" s="22">
        <f t="shared" si="26"/>
        <v>513922.40184962744</v>
      </c>
      <c r="AX31" s="22">
        <f t="shared" si="26"/>
        <v>498953.78820352186</v>
      </c>
    </row>
    <row r="32" spans="1:50" x14ac:dyDescent="0.2">
      <c r="B32" s="5"/>
      <c r="C32" s="78">
        <v>7.0000000000000007E-2</v>
      </c>
      <c r="E32" s="10">
        <f>SUM(G32:AX32)</f>
        <v>3204704.860169949</v>
      </c>
      <c r="G32" s="22">
        <f t="shared" si="23"/>
        <v>0</v>
      </c>
      <c r="H32" s="22">
        <f t="shared" si="23"/>
        <v>-6780795.9938276997</v>
      </c>
      <c r="I32" s="22">
        <f t="shared" si="23"/>
        <v>-6337192.5175959812</v>
      </c>
      <c r="J32" s="22">
        <f t="shared" si="23"/>
        <v>-5398784.3564753039</v>
      </c>
      <c r="K32" s="22">
        <f t="shared" si="23"/>
        <v>4396039.2369756186</v>
      </c>
      <c r="L32" s="22">
        <f t="shared" si="23"/>
        <v>1220662.3380331176</v>
      </c>
      <c r="M32" s="22">
        <f t="shared" si="23"/>
        <v>1140805.923395437</v>
      </c>
      <c r="N32" s="22">
        <f t="shared" si="23"/>
        <v>1066173.7601826515</v>
      </c>
      <c r="O32" s="22">
        <f t="shared" si="23"/>
        <v>996424.07493705733</v>
      </c>
      <c r="P32" s="22">
        <f t="shared" si="23"/>
        <v>931237.45321220311</v>
      </c>
      <c r="Q32" s="22">
        <f t="shared" si="24"/>
        <v>870315.37683383457</v>
      </c>
      <c r="R32" s="22">
        <f t="shared" si="24"/>
        <v>813378.85685405112</v>
      </c>
      <c r="S32" s="22">
        <f t="shared" si="24"/>
        <v>760167.1559383655</v>
      </c>
      <c r="T32" s="22">
        <f t="shared" si="24"/>
        <v>710436.5943349211</v>
      </c>
      <c r="U32" s="22">
        <f t="shared" si="24"/>
        <v>663959.43395787012</v>
      </c>
      <c r="V32" s="22">
        <f t="shared" si="24"/>
        <v>620522.83547464502</v>
      </c>
      <c r="W32" s="22">
        <f t="shared" si="24"/>
        <v>579927.88362116355</v>
      </c>
      <c r="X32" s="22">
        <f t="shared" si="24"/>
        <v>541988.67628146126</v>
      </c>
      <c r="Y32" s="22">
        <f t="shared" si="24"/>
        <v>506531.47316024412</v>
      </c>
      <c r="Z32" s="22">
        <f t="shared" si="24"/>
        <v>473393.90014976094</v>
      </c>
      <c r="AA32" s="22">
        <f t="shared" si="25"/>
        <v>442424.20574744011</v>
      </c>
      <c r="AB32" s="22">
        <f t="shared" si="25"/>
        <v>413480.56611910288</v>
      </c>
      <c r="AC32" s="22">
        <f t="shared" si="25"/>
        <v>386430.43562532979</v>
      </c>
      <c r="AD32" s="22">
        <f t="shared" si="25"/>
        <v>361149.93983675679</v>
      </c>
      <c r="AE32" s="22">
        <f t="shared" si="25"/>
        <v>337523.30825865117</v>
      </c>
      <c r="AF32" s="22">
        <f t="shared" si="25"/>
        <v>315442.34416696377</v>
      </c>
      <c r="AG32" s="22">
        <f t="shared" si="25"/>
        <v>294805.92912800348</v>
      </c>
      <c r="AH32" s="22">
        <f t="shared" si="25"/>
        <v>275519.55993271357</v>
      </c>
      <c r="AI32" s="22">
        <f t="shared" si="25"/>
        <v>257494.91582496595</v>
      </c>
      <c r="AJ32" s="22">
        <f t="shared" si="25"/>
        <v>240649.45404202424</v>
      </c>
      <c r="AK32" s="22">
        <f t="shared" si="26"/>
        <v>224906.0318149759</v>
      </c>
      <c r="AL32" s="22">
        <f t="shared" si="26"/>
        <v>210192.55309810833</v>
      </c>
      <c r="AM32" s="22">
        <f t="shared" si="26"/>
        <v>196441.63840944704</v>
      </c>
      <c r="AN32" s="22">
        <f t="shared" si="26"/>
        <v>183590.31627051125</v>
      </c>
      <c r="AO32" s="22">
        <f t="shared" si="26"/>
        <v>171579.73483225351</v>
      </c>
      <c r="AP32" s="22">
        <f t="shared" si="26"/>
        <v>160354.89236659207</v>
      </c>
      <c r="AQ32" s="22">
        <f t="shared" si="26"/>
        <v>149864.38538933836</v>
      </c>
      <c r="AR32" s="22">
        <f t="shared" si="26"/>
        <v>140060.1732610639</v>
      </c>
      <c r="AS32" s="22">
        <f t="shared" si="26"/>
        <v>130897.35818791018</v>
      </c>
      <c r="AT32" s="22">
        <f t="shared" si="26"/>
        <v>122333.97961486933</v>
      </c>
      <c r="AU32" s="22">
        <f t="shared" si="26"/>
        <v>114330.82206997133</v>
      </c>
      <c r="AV32" s="22">
        <f t="shared" si="26"/>
        <v>106851.23557941246</v>
      </c>
      <c r="AW32" s="22">
        <f t="shared" si="26"/>
        <v>99860.96783122659</v>
      </c>
      <c r="AX32" s="22">
        <f t="shared" si="26"/>
        <v>93328.007318903372</v>
      </c>
    </row>
    <row r="33" spans="1:50" x14ac:dyDescent="0.2">
      <c r="B33" s="5"/>
    </row>
    <row r="34" spans="1:50" x14ac:dyDescent="0.2">
      <c r="B34" s="5" t="s">
        <v>170</v>
      </c>
      <c r="C34" s="3" t="s">
        <v>171</v>
      </c>
      <c r="G34" s="22">
        <f>HLOOKUP(G$14,'11-Carbon Costs'!$B$4:$AS$9,6,FALSE)</f>
        <v>0</v>
      </c>
      <c r="H34" s="22">
        <f>HLOOKUP(H$14,'11-Carbon Costs'!$B$4:$AS$9,6,FALSE)</f>
        <v>8333.1611957956757</v>
      </c>
      <c r="I34" s="22">
        <f>HLOOKUP(I$14,'11-Carbon Costs'!$B$4:$AS$9,6,FALSE)</f>
        <v>8309.1085132572989</v>
      </c>
      <c r="J34" s="22">
        <f>HLOOKUP(J$14,'11-Carbon Costs'!$B$4:$AS$9,6,FALSE)</f>
        <v>8279.3876345691006</v>
      </c>
      <c r="K34" s="22">
        <f>HLOOKUP(K$14,'11-Carbon Costs'!$B$4:$AS$9,6,FALSE)</f>
        <v>8244.3491506787177</v>
      </c>
      <c r="L34" s="22">
        <f>HLOOKUP(L$14,'11-Carbon Costs'!$B$4:$AS$9,6,FALSE)</f>
        <v>8404.4336002064592</v>
      </c>
      <c r="M34" s="22">
        <f>HLOOKUP(M$14,'11-Carbon Costs'!$B$4:$AS$9,6,FALSE)</f>
        <v>8353.9215166176109</v>
      </c>
      <c r="N34" s="22">
        <f>HLOOKUP(N$14,'11-Carbon Costs'!$B$4:$AS$9,6,FALSE)</f>
        <v>8110.6034141918544</v>
      </c>
      <c r="O34" s="22">
        <f>HLOOKUP(O$14,'11-Carbon Costs'!$B$4:$AS$9,6,FALSE)</f>
        <v>8057.4971827600257</v>
      </c>
      <c r="P34" s="22">
        <f>HLOOKUP(P$14,'11-Carbon Costs'!$B$4:$AS$9,6,FALSE)</f>
        <v>8000.6039987687827</v>
      </c>
      <c r="Q34" s="22">
        <f>HLOOKUP(Q$14,'11-Carbon Costs'!$B$4:$AS$9,6,FALSE)</f>
        <v>7940.1895133411863</v>
      </c>
      <c r="R34" s="22">
        <f>HLOOKUP(R$14,'11-Carbon Costs'!$B$4:$AS$9,6,FALSE)</f>
        <v>7876.5071153869931</v>
      </c>
      <c r="S34" s="22">
        <f>HLOOKUP(S$14,'11-Carbon Costs'!$B$4:$AS$9,6,FALSE)</f>
        <v>7809.7984205448383</v>
      </c>
      <c r="T34" s="22">
        <f>HLOOKUP(T$14,'11-Carbon Costs'!$B$4:$AS$9,6,FALSE)</f>
        <v>7740.2937420448452</v>
      </c>
      <c r="U34" s="22">
        <f>HLOOKUP(U$14,'11-Carbon Costs'!$B$4:$AS$9,6,FALSE)</f>
        <v>7668.2125441300241</v>
      </c>
      <c r="V34" s="22">
        <f>HLOOKUP(V$14,'11-Carbon Costs'!$B$4:$AS$9,6,FALSE)</f>
        <v>7593.7638786530324</v>
      </c>
      <c r="W34" s="22">
        <f>HLOOKUP(W$14,'11-Carbon Costs'!$B$4:$AS$9,6,FALSE)</f>
        <v>7517.1468054437019</v>
      </c>
      <c r="X34" s="22">
        <f>HLOOKUP(X$14,'11-Carbon Costs'!$B$4:$AS$9,6,FALSE)</f>
        <v>7298.2007819841783</v>
      </c>
      <c r="Y34" s="22">
        <f>HLOOKUP(Y$14,'11-Carbon Costs'!$B$4:$AS$9,6,FALSE)</f>
        <v>7221.8939776915877</v>
      </c>
      <c r="Z34" s="22">
        <f>HLOOKUP(Z$14,'11-Carbon Costs'!$B$4:$AS$9,6,FALSE)</f>
        <v>7143.8409011787089</v>
      </c>
      <c r="AA34" s="22">
        <f>HLOOKUP(AA$14,'11-Carbon Costs'!$B$4:$AS$9,6,FALSE)</f>
        <v>7064.2080108743075</v>
      </c>
      <c r="AB34" s="22">
        <f>HLOOKUP(AB$14,'11-Carbon Costs'!$B$4:$AS$9,6,FALSE)</f>
        <v>6983.1535500257933</v>
      </c>
      <c r="AC34" s="22">
        <f>HLOOKUP(AC$14,'11-Carbon Costs'!$B$4:$AS$9,6,FALSE)</f>
        <v>6900.8278840407474</v>
      </c>
      <c r="AD34" s="22">
        <f>HLOOKUP(AD$14,'11-Carbon Costs'!$B$4:$AS$9,6,FALSE)</f>
        <v>6817.3738251467094</v>
      </c>
      <c r="AE34" s="22">
        <f>HLOOKUP(AE$14,'11-Carbon Costs'!$B$4:$AS$9,6,FALSE)</f>
        <v>6732.9269448218265</v>
      </c>
      <c r="AF34" s="22">
        <f>HLOOKUP(AF$14,'11-Carbon Costs'!$B$4:$AS$9,6,FALSE)</f>
        <v>6647.615874433267</v>
      </c>
      <c r="AG34" s="22">
        <f>HLOOKUP(AG$14,'11-Carbon Costs'!$B$4:$AS$9,6,FALSE)</f>
        <v>6561.562594505328</v>
      </c>
      <c r="AH34" s="22">
        <f>HLOOKUP(AH$14,'11-Carbon Costs'!$B$4:$AS$9,6,FALSE)</f>
        <v>6474.8827130245145</v>
      </c>
      <c r="AI34" s="22">
        <f>HLOOKUP(AI$14,'11-Carbon Costs'!$B$4:$AS$9,6,FALSE)</f>
        <v>6387.685733174827</v>
      </c>
      <c r="AJ34" s="22">
        <f>HLOOKUP(AJ$14,'11-Carbon Costs'!$B$4:$AS$9,6,FALSE)</f>
        <v>6300.0753108828621</v>
      </c>
      <c r="AK34" s="22">
        <f>HLOOKUP(AK$14,'11-Carbon Costs'!$B$4:$AS$9,6,FALSE)</f>
        <v>6212.1495025392305</v>
      </c>
      <c r="AL34" s="22">
        <f>HLOOKUP(AL$14,'11-Carbon Costs'!$B$4:$AS$9,6,FALSE)</f>
        <v>6124.0010032500268</v>
      </c>
      <c r="AM34" s="22">
        <f>HLOOKUP(AM$14,'11-Carbon Costs'!$B$4:$AS$9,6,FALSE)</f>
        <v>6035.7173759598654</v>
      </c>
      <c r="AN34" s="22">
        <f>HLOOKUP(AN$14,'11-Carbon Costs'!$B$4:$AS$9,6,FALSE)</f>
        <v>5947.381271776133</v>
      </c>
      <c r="AO34" s="22">
        <f>HLOOKUP(AO$14,'11-Carbon Costs'!$B$4:$AS$9,6,FALSE)</f>
        <v>5859.0706418125801</v>
      </c>
      <c r="AP34" s="22">
        <f>HLOOKUP(AP$14,'11-Carbon Costs'!$B$4:$AS$9,6,FALSE)</f>
        <v>5770.8589408594453</v>
      </c>
      <c r="AQ34" s="22">
        <f>HLOOKUP(AQ$14,'11-Carbon Costs'!$B$4:$AS$9,6,FALSE)</f>
        <v>5682.815323176429</v>
      </c>
      <c r="AR34" s="22">
        <f>HLOOKUP(AR$14,'11-Carbon Costs'!$B$4:$AS$9,6,FALSE)</f>
        <v>5517.2964302683777</v>
      </c>
      <c r="AS34" s="22">
        <f>HLOOKUP(AS$14,'11-Carbon Costs'!$B$4:$AS$9,6,FALSE)</f>
        <v>5356.5984759887169</v>
      </c>
      <c r="AT34" s="22">
        <f>HLOOKUP(AT$14,'11-Carbon Costs'!$B$4:$AS$9,6,FALSE)</f>
        <v>5200.5810446492396</v>
      </c>
      <c r="AU34" s="22">
        <f>HLOOKUP(AU$14,'11-Carbon Costs'!$B$4:$AS$9,6,FALSE)</f>
        <v>5049.1078103390673</v>
      </c>
      <c r="AV34" s="22">
        <f>HLOOKUP(AV$14,'11-Carbon Costs'!$B$4:$AS$9,6,FALSE)</f>
        <v>4902.0464178049206</v>
      </c>
      <c r="AW34" s="22">
        <f>HLOOKUP(AW$14,'11-Carbon Costs'!$B$4:$AST9,6,FALSE)</f>
        <v>4759.2683668008931</v>
      </c>
      <c r="AX34" s="22">
        <v>0</v>
      </c>
    </row>
    <row r="35" spans="1:50" x14ac:dyDescent="0.2">
      <c r="B35" s="5"/>
    </row>
    <row r="36" spans="1:50" x14ac:dyDescent="0.2">
      <c r="B36" s="42" t="s">
        <v>173</v>
      </c>
      <c r="C36" s="70">
        <v>0.03</v>
      </c>
      <c r="D36" s="22">
        <f>SUM(G36:AX36)</f>
        <v>20939500.677824289</v>
      </c>
      <c r="E36" s="49"/>
      <c r="G36" s="10">
        <f>G31+G$34</f>
        <v>0</v>
      </c>
      <c r="H36" s="10">
        <f>H31+H$34</f>
        <v>-7309353.080045918</v>
      </c>
      <c r="I36" s="10">
        <f t="shared" ref="I36:AW36" si="27">I31+I$34</f>
        <v>-7096240.6402651053</v>
      </c>
      <c r="J36" s="10">
        <f t="shared" si="27"/>
        <v>-6279281.3408489749</v>
      </c>
      <c r="K36" s="10">
        <f t="shared" si="27"/>
        <v>5326807.5575690661</v>
      </c>
      <c r="L36" s="10">
        <f t="shared" si="27"/>
        <v>1542579.2979427355</v>
      </c>
      <c r="M36" s="10">
        <f t="shared" si="27"/>
        <v>1497844.0810724709</v>
      </c>
      <c r="N36" s="10">
        <f t="shared" si="27"/>
        <v>1454217.5544392923</v>
      </c>
      <c r="O36" s="10">
        <f t="shared" si="27"/>
        <v>1412044.8282750905</v>
      </c>
      <c r="P36" s="10">
        <f t="shared" si="27"/>
        <v>1371095.100204915</v>
      </c>
      <c r="Q36" s="10">
        <f t="shared" si="27"/>
        <v>1331332.9042765899</v>
      </c>
      <c r="R36" s="10">
        <f t="shared" si="27"/>
        <v>1292723.8030020362</v>
      </c>
      <c r="S36" s="10">
        <f t="shared" si="27"/>
        <v>1255234.3575337969</v>
      </c>
      <c r="T36" s="10">
        <f t="shared" si="27"/>
        <v>1218832.098706367</v>
      </c>
      <c r="U36" s="10">
        <f t="shared" si="27"/>
        <v>1183485.4989172581</v>
      </c>
      <c r="V36" s="10">
        <f t="shared" si="27"/>
        <v>1149163.9448234378</v>
      </c>
      <c r="W36" s="10">
        <f t="shared" si="27"/>
        <v>1115837.7108295066</v>
      </c>
      <c r="X36" s="10">
        <f t="shared" si="27"/>
        <v>1083337.5833296182</v>
      </c>
      <c r="Y36" s="10">
        <f t="shared" si="27"/>
        <v>1051920.3236355886</v>
      </c>
      <c r="Z36" s="10">
        <f t="shared" si="27"/>
        <v>1021414.1609573894</v>
      </c>
      <c r="AA36" s="10">
        <f t="shared" si="27"/>
        <v>991792.67408486549</v>
      </c>
      <c r="AB36" s="10">
        <f t="shared" si="27"/>
        <v>963030.20799079374</v>
      </c>
      <c r="AC36" s="10">
        <f t="shared" si="27"/>
        <v>935101.85161294171</v>
      </c>
      <c r="AD36" s="10">
        <f t="shared" si="27"/>
        <v>907983.41628039046</v>
      </c>
      <c r="AE36" s="10">
        <f t="shared" si="27"/>
        <v>881651.4147654468</v>
      </c>
      <c r="AF36" s="10">
        <f t="shared" si="27"/>
        <v>856083.04094300116</v>
      </c>
      <c r="AG36" s="10">
        <f t="shared" si="27"/>
        <v>831256.15003971697</v>
      </c>
      <c r="AH36" s="10">
        <f t="shared" si="27"/>
        <v>807149.23945594835</v>
      </c>
      <c r="AI36" s="10">
        <f t="shared" si="27"/>
        <v>783741.43014378054</v>
      </c>
      <c r="AJ36" s="10">
        <f t="shared" si="27"/>
        <v>761012.44852506323</v>
      </c>
      <c r="AK36" s="10">
        <f t="shared" si="27"/>
        <v>738942.60893378209</v>
      </c>
      <c r="AL36" s="10">
        <f t="shared" si="27"/>
        <v>717512.79656756367</v>
      </c>
      <c r="AM36" s="10">
        <f t="shared" si="27"/>
        <v>696704.45093354594</v>
      </c>
      <c r="AN36" s="10">
        <f t="shared" si="27"/>
        <v>676499.54977428704</v>
      </c>
      <c r="AO36" s="10">
        <f t="shared" si="27"/>
        <v>656880.59345978429</v>
      </c>
      <c r="AP36" s="10">
        <f t="shared" si="27"/>
        <v>637830.58983209403</v>
      </c>
      <c r="AQ36" s="10">
        <f t="shared" si="27"/>
        <v>619333.03948942374</v>
      </c>
      <c r="AR36" s="10">
        <f t="shared" si="27"/>
        <v>601294.21309652785</v>
      </c>
      <c r="AS36" s="10">
        <f t="shared" si="27"/>
        <v>583780.78941410466</v>
      </c>
      <c r="AT36" s="10">
        <f t="shared" si="27"/>
        <v>566777.4654505871</v>
      </c>
      <c r="AU36" s="10">
        <f t="shared" si="27"/>
        <v>550269.38393260888</v>
      </c>
      <c r="AV36" s="10">
        <f t="shared" si="27"/>
        <v>534242.12032292108</v>
      </c>
      <c r="AW36" s="10">
        <f t="shared" si="27"/>
        <v>518681.67021642835</v>
      </c>
      <c r="AX36" s="10">
        <f>AX31+AX$34</f>
        <v>498953.78820352186</v>
      </c>
    </row>
    <row r="37" spans="1:50" x14ac:dyDescent="0.2">
      <c r="A37" s="5" t="s">
        <v>157</v>
      </c>
      <c r="C37" s="78">
        <v>7.0000000000000007E-2</v>
      </c>
      <c r="E37" s="10">
        <f>SUM(G37:AX37)</f>
        <v>3493894.9791033543</v>
      </c>
      <c r="G37" s="10">
        <f>G32+G$34</f>
        <v>0</v>
      </c>
      <c r="H37" s="10">
        <f>H32+H$34</f>
        <v>-6772462.8326319037</v>
      </c>
      <c r="I37" s="10">
        <f t="shared" ref="I37:AW37" si="28">I32+I$34</f>
        <v>-6328883.4090827238</v>
      </c>
      <c r="J37" s="10">
        <f t="shared" si="28"/>
        <v>-5390504.968840735</v>
      </c>
      <c r="K37" s="10">
        <f t="shared" si="28"/>
        <v>4404283.5861262977</v>
      </c>
      <c r="L37" s="10">
        <f t="shared" si="28"/>
        <v>1229066.771633324</v>
      </c>
      <c r="M37" s="10">
        <f t="shared" si="28"/>
        <v>1149159.8449120545</v>
      </c>
      <c r="N37" s="10">
        <f t="shared" si="28"/>
        <v>1074284.3635968433</v>
      </c>
      <c r="O37" s="10">
        <f t="shared" si="28"/>
        <v>1004481.5721198174</v>
      </c>
      <c r="P37" s="10">
        <f t="shared" si="28"/>
        <v>939238.05721097183</v>
      </c>
      <c r="Q37" s="10">
        <f t="shared" si="28"/>
        <v>878255.56634717574</v>
      </c>
      <c r="R37" s="10">
        <f t="shared" si="28"/>
        <v>821255.36396943813</v>
      </c>
      <c r="S37" s="10">
        <f t="shared" si="28"/>
        <v>767976.95435891033</v>
      </c>
      <c r="T37" s="10">
        <f t="shared" si="28"/>
        <v>718176.88807696593</v>
      </c>
      <c r="U37" s="10">
        <f t="shared" si="28"/>
        <v>671627.64650200016</v>
      </c>
      <c r="V37" s="10">
        <f t="shared" si="28"/>
        <v>628116.59935329808</v>
      </c>
      <c r="W37" s="10">
        <f t="shared" si="28"/>
        <v>587445.03042660723</v>
      </c>
      <c r="X37" s="10">
        <f t="shared" si="28"/>
        <v>549286.8770634454</v>
      </c>
      <c r="Y37" s="10">
        <f t="shared" si="28"/>
        <v>513753.36713793571</v>
      </c>
      <c r="Z37" s="10">
        <f t="shared" si="28"/>
        <v>480537.74105093966</v>
      </c>
      <c r="AA37" s="10">
        <f t="shared" si="28"/>
        <v>449488.41375831439</v>
      </c>
      <c r="AB37" s="10">
        <f t="shared" si="28"/>
        <v>420463.71966912865</v>
      </c>
      <c r="AC37" s="10">
        <f t="shared" si="28"/>
        <v>393331.26350937056</v>
      </c>
      <c r="AD37" s="10">
        <f t="shared" si="28"/>
        <v>367967.31366190349</v>
      </c>
      <c r="AE37" s="10">
        <f t="shared" si="28"/>
        <v>344256.23520347301</v>
      </c>
      <c r="AF37" s="10">
        <f t="shared" si="28"/>
        <v>322089.96004139702</v>
      </c>
      <c r="AG37" s="10">
        <f t="shared" si="28"/>
        <v>301367.4917225088</v>
      </c>
      <c r="AH37" s="10">
        <f t="shared" si="28"/>
        <v>281994.44264573808</v>
      </c>
      <c r="AI37" s="10">
        <f t="shared" si="28"/>
        <v>263882.60155814077</v>
      </c>
      <c r="AJ37" s="10">
        <f t="shared" si="28"/>
        <v>246949.52935290709</v>
      </c>
      <c r="AK37" s="10">
        <f t="shared" si="28"/>
        <v>231118.18131751512</v>
      </c>
      <c r="AL37" s="10">
        <f t="shared" si="28"/>
        <v>216316.55410135834</v>
      </c>
      <c r="AM37" s="10">
        <f t="shared" si="28"/>
        <v>202477.35578540689</v>
      </c>
      <c r="AN37" s="10">
        <f t="shared" si="28"/>
        <v>189537.69754228738</v>
      </c>
      <c r="AO37" s="10">
        <f t="shared" si="28"/>
        <v>177438.80547406609</v>
      </c>
      <c r="AP37" s="10">
        <f t="shared" si="28"/>
        <v>166125.75130745152</v>
      </c>
      <c r="AQ37" s="10">
        <f t="shared" si="28"/>
        <v>155547.20071251478</v>
      </c>
      <c r="AR37" s="10">
        <f t="shared" si="28"/>
        <v>145577.46969133228</v>
      </c>
      <c r="AS37" s="10">
        <f t="shared" si="28"/>
        <v>136253.95666389889</v>
      </c>
      <c r="AT37" s="10">
        <f t="shared" si="28"/>
        <v>127534.56065951857</v>
      </c>
      <c r="AU37" s="10">
        <f t="shared" si="28"/>
        <v>119379.92988031039</v>
      </c>
      <c r="AV37" s="10">
        <f t="shared" si="28"/>
        <v>111753.28199721737</v>
      </c>
      <c r="AW37" s="10">
        <f t="shared" si="28"/>
        <v>104620.23619802749</v>
      </c>
      <c r="AX37" s="10">
        <f>AX32+AX$34</f>
        <v>93328.007318903372</v>
      </c>
    </row>
    <row r="38" spans="1:50" ht="13.5" thickBot="1" x14ac:dyDescent="0.25">
      <c r="A38" s="31"/>
    </row>
    <row r="39" spans="1:50" x14ac:dyDescent="0.2">
      <c r="A39" s="195"/>
      <c r="B39" s="256" t="s">
        <v>159</v>
      </c>
      <c r="C39" s="257" t="s">
        <v>37</v>
      </c>
      <c r="D39" s="258" t="s">
        <v>92</v>
      </c>
      <c r="E39" s="259" t="s">
        <v>38</v>
      </c>
      <c r="I39" s="3" t="s">
        <v>233</v>
      </c>
      <c r="J39" s="3">
        <v>4</v>
      </c>
    </row>
    <row r="40" spans="1:50" x14ac:dyDescent="0.2">
      <c r="A40" s="31"/>
      <c r="B40" s="58" t="s">
        <v>66</v>
      </c>
      <c r="C40" s="63">
        <f>C22</f>
        <v>87415816.561825678</v>
      </c>
      <c r="D40" s="63">
        <f>D22</f>
        <v>46652643.681560114</v>
      </c>
      <c r="E40" s="310">
        <f>E22</f>
        <v>24564222.081659555</v>
      </c>
    </row>
    <row r="41" spans="1:50" x14ac:dyDescent="0.2">
      <c r="A41" s="31"/>
      <c r="B41" s="80" t="s">
        <v>67</v>
      </c>
      <c r="C41" s="246">
        <f>C27</f>
        <v>32410000</v>
      </c>
      <c r="D41" s="246">
        <f>D27</f>
        <v>26002333.122669261</v>
      </c>
      <c r="E41" s="311">
        <f>E27</f>
        <v>21359517.221489616</v>
      </c>
    </row>
    <row r="42" spans="1:50" x14ac:dyDescent="0.2">
      <c r="A42" s="31"/>
      <c r="B42" s="58" t="s">
        <v>158</v>
      </c>
      <c r="C42" s="63">
        <f>C40-C41</f>
        <v>55005816.561825678</v>
      </c>
      <c r="D42" s="63">
        <f>D40-D41</f>
        <v>20650310.558890853</v>
      </c>
      <c r="E42" s="310">
        <f>E40-E41</f>
        <v>3204704.8601699397</v>
      </c>
    </row>
    <row r="43" spans="1:50" x14ac:dyDescent="0.2">
      <c r="A43" s="31"/>
      <c r="B43" s="58" t="s">
        <v>68</v>
      </c>
      <c r="C43" s="129">
        <f>C40/C41</f>
        <v>2.6971865646968736</v>
      </c>
      <c r="D43" s="129">
        <f>D40/D41</f>
        <v>1.7941714484415852</v>
      </c>
      <c r="E43" s="130">
        <f>E40/E41</f>
        <v>1.1500363901926451</v>
      </c>
    </row>
    <row r="44" spans="1:50" ht="13.5" thickBot="1" x14ac:dyDescent="0.25">
      <c r="A44" s="31"/>
      <c r="B44" s="57" t="s">
        <v>175</v>
      </c>
      <c r="C44" s="82">
        <f>IRR(G29:AX29)</f>
        <v>8.5340399210404705E-2</v>
      </c>
      <c r="D44" s="81"/>
      <c r="E44" s="83"/>
    </row>
    <row r="45" spans="1:50" x14ac:dyDescent="0.2">
      <c r="A45" s="31"/>
    </row>
    <row r="46" spans="1:50" x14ac:dyDescent="0.2">
      <c r="A46" s="31"/>
      <c r="B46" s="5"/>
      <c r="C46" s="78"/>
      <c r="D46" s="78"/>
      <c r="E46" s="78"/>
    </row>
    <row r="47" spans="1:50" x14ac:dyDescent="0.2">
      <c r="B47" s="5"/>
      <c r="C47" s="78"/>
      <c r="D47" s="218"/>
      <c r="E47" s="218"/>
    </row>
    <row r="48" spans="1:50" x14ac:dyDescent="0.2">
      <c r="B48" s="5"/>
      <c r="C48" s="78"/>
      <c r="D48" s="218"/>
      <c r="E48" s="218"/>
    </row>
    <row r="49" spans="3:6" x14ac:dyDescent="0.2">
      <c r="C49" s="5"/>
      <c r="D49" s="5"/>
      <c r="E49" s="5"/>
    </row>
    <row r="51" spans="3:6" x14ac:dyDescent="0.2">
      <c r="D51" s="10"/>
      <c r="E51" s="10"/>
      <c r="F51" s="10"/>
    </row>
    <row r="52" spans="3:6" x14ac:dyDescent="0.2">
      <c r="D52" s="10"/>
      <c r="E52" s="10"/>
      <c r="F52" s="10"/>
    </row>
    <row r="53" spans="3:6" x14ac:dyDescent="0.2">
      <c r="D53" s="13"/>
      <c r="E53" s="13"/>
      <c r="F53" s="13"/>
    </row>
  </sheetData>
  <phoneticPr fontId="2" type="noConversion"/>
  <printOptions horizontalCentered="1"/>
  <pageMargins left="0.5" right="0.5" top="1" bottom="0.75" header="0.5" footer="0.5"/>
  <pageSetup scale="49" fitToWidth="3" orientation="landscape" r:id="rId1"/>
  <headerFooter alignWithMargins="0">
    <oddHeader>&amp;L&amp;"Arial Narrow,Regular"&amp;12&amp;K000000&amp;D&amp;C&amp;"Arial Narrow,Bold"&amp;14&amp;K000000TIGER V - Ardmore TOD Cost Benefit Analysis</oddHeader>
    <oddFooter>&amp;L&amp;A&amp;C&amp;"Arial Narrow,Regular"&amp;12&amp;P of &amp;N</oddFooter>
  </headerFooter>
  <colBreaks count="2" manualBreakCount="2">
    <brk id="14" max="48" man="1"/>
    <brk id="33" max="48"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J45"/>
  <sheetViews>
    <sheetView topLeftCell="A22" zoomScaleNormal="100" workbookViewId="0">
      <selection activeCell="A3" sqref="A3"/>
    </sheetView>
  </sheetViews>
  <sheetFormatPr defaultColWidth="11.42578125" defaultRowHeight="12.75" x14ac:dyDescent="0.2"/>
  <cols>
    <col min="1" max="1" width="32" style="5" customWidth="1"/>
    <col min="2" max="2" width="21.85546875" style="5" customWidth="1"/>
    <col min="3" max="3" width="16.140625" style="5" customWidth="1"/>
    <col min="4" max="4" width="19.140625" style="5" customWidth="1"/>
    <col min="5" max="5" width="16" style="5" customWidth="1"/>
    <col min="6" max="6" width="2.28515625" style="5" customWidth="1"/>
    <col min="7" max="7" width="26.28515625" style="5" customWidth="1"/>
    <col min="8" max="8" width="1.28515625" style="5" customWidth="1"/>
    <col min="9" max="10" width="17.140625" style="5" customWidth="1"/>
    <col min="11" max="16384" width="11.42578125" style="5"/>
  </cols>
  <sheetData>
    <row r="1" spans="1:10" ht="18" x14ac:dyDescent="0.25">
      <c r="A1" s="295" t="s">
        <v>442</v>
      </c>
      <c r="B1" s="48"/>
      <c r="C1" s="31"/>
      <c r="D1" s="31"/>
      <c r="E1" s="31"/>
      <c r="F1" s="31"/>
    </row>
    <row r="2" spans="1:10" ht="18" x14ac:dyDescent="0.25">
      <c r="A2" s="295"/>
      <c r="B2" s="48"/>
      <c r="C2" s="31"/>
      <c r="D2" s="31"/>
      <c r="E2" s="31"/>
      <c r="F2" s="31"/>
    </row>
    <row r="3" spans="1:10" ht="15.75" x14ac:dyDescent="0.25">
      <c r="A3" s="292" t="s">
        <v>443</v>
      </c>
      <c r="B3" s="48"/>
      <c r="C3" s="31"/>
      <c r="D3" s="31"/>
      <c r="E3" s="31"/>
      <c r="F3" s="31"/>
    </row>
    <row r="4" spans="1:10" x14ac:dyDescent="0.2">
      <c r="B4" s="31"/>
    </row>
    <row r="5" spans="1:10" ht="25.5" x14ac:dyDescent="0.2">
      <c r="A5" s="316" t="s">
        <v>143</v>
      </c>
      <c r="B5" s="316" t="s">
        <v>153</v>
      </c>
      <c r="C5" s="316" t="s">
        <v>49</v>
      </c>
      <c r="D5" s="316"/>
      <c r="E5" s="316" t="s">
        <v>2</v>
      </c>
      <c r="F5" s="316"/>
      <c r="G5" s="316" t="s">
        <v>108</v>
      </c>
      <c r="H5" s="316"/>
      <c r="I5" s="196"/>
      <c r="J5" s="196"/>
    </row>
    <row r="6" spans="1:10" x14ac:dyDescent="0.2">
      <c r="A6" s="21" t="s">
        <v>154</v>
      </c>
      <c r="C6" s="75">
        <f>'2-Reduced Local Traffic'!B8</f>
        <v>554140.07999999996</v>
      </c>
      <c r="D6" s="75"/>
      <c r="E6" s="75">
        <f>SUM(C6:D6)</f>
        <v>554140.07999999996</v>
      </c>
      <c r="G6" s="5" t="s">
        <v>180</v>
      </c>
    </row>
    <row r="7" spans="1:10" x14ac:dyDescent="0.2">
      <c r="A7" s="21" t="s">
        <v>169</v>
      </c>
      <c r="D7" s="211">
        <v>1000000</v>
      </c>
      <c r="E7" s="76"/>
    </row>
    <row r="9" spans="1:10" ht="12.75" customHeight="1" x14ac:dyDescent="0.2">
      <c r="A9" s="73" t="s">
        <v>50</v>
      </c>
      <c r="B9" s="74"/>
      <c r="C9" s="151" t="s">
        <v>48</v>
      </c>
      <c r="D9" s="151"/>
      <c r="E9" s="151"/>
      <c r="F9" s="73"/>
    </row>
    <row r="10" spans="1:10" x14ac:dyDescent="0.2">
      <c r="A10" s="89" t="s">
        <v>51</v>
      </c>
      <c r="B10" s="212">
        <v>365</v>
      </c>
      <c r="C10" s="152">
        <f>$B10*C$6/$D$7</f>
        <v>202.2611292</v>
      </c>
      <c r="D10" s="152">
        <f>$B10*D$6/$D$7</f>
        <v>0</v>
      </c>
      <c r="E10" s="153">
        <f>SUM(C10:D10)</f>
        <v>202.2611292</v>
      </c>
      <c r="F10" s="141"/>
      <c r="G10" s="142" t="s">
        <v>191</v>
      </c>
      <c r="H10" s="143"/>
    </row>
    <row r="11" spans="1:10" x14ac:dyDescent="0.2">
      <c r="A11" s="4" t="s">
        <v>52</v>
      </c>
      <c r="B11" s="213">
        <v>0.02</v>
      </c>
      <c r="C11" s="69">
        <f t="shared" ref="C11:D22" si="0">$B11*C$6/$D$7</f>
        <v>1.1082801599999999E-2</v>
      </c>
      <c r="D11" s="69">
        <f t="shared" si="0"/>
        <v>0</v>
      </c>
      <c r="E11" s="100">
        <f t="shared" ref="E11:E22" si="1">SUM(C11:D11)</f>
        <v>1.1082801599999999E-2</v>
      </c>
      <c r="F11" s="101"/>
      <c r="G11" s="140" t="s">
        <v>181</v>
      </c>
      <c r="H11" s="144"/>
    </row>
    <row r="12" spans="1:10" x14ac:dyDescent="0.2">
      <c r="A12" s="4" t="s">
        <v>53</v>
      </c>
      <c r="B12" s="213">
        <v>9.5</v>
      </c>
      <c r="C12" s="69">
        <f t="shared" si="0"/>
        <v>5.26433076</v>
      </c>
      <c r="D12" s="69">
        <f t="shared" si="0"/>
        <v>0</v>
      </c>
      <c r="E12" s="100">
        <f t="shared" si="1"/>
        <v>5.26433076</v>
      </c>
      <c r="F12" s="101"/>
      <c r="G12" s="140" t="s">
        <v>181</v>
      </c>
      <c r="H12" s="144"/>
    </row>
    <row r="13" spans="1:10" x14ac:dyDescent="0.2">
      <c r="A13" s="4" t="s">
        <v>54</v>
      </c>
      <c r="B13" s="213">
        <v>0.8</v>
      </c>
      <c r="C13" s="69">
        <f t="shared" si="0"/>
        <v>0.44331206400000001</v>
      </c>
      <c r="D13" s="69">
        <f t="shared" si="0"/>
        <v>0</v>
      </c>
      <c r="E13" s="100">
        <f t="shared" si="1"/>
        <v>0.44331206400000001</v>
      </c>
      <c r="F13" s="101"/>
      <c r="G13" s="140" t="s">
        <v>181</v>
      </c>
      <c r="H13" s="144"/>
    </row>
    <row r="14" spans="1:10" x14ac:dyDescent="0.2">
      <c r="A14" s="4" t="s">
        <v>55</v>
      </c>
      <c r="B14" s="213">
        <v>0.28000000000000003</v>
      </c>
      <c r="C14" s="69">
        <f t="shared" si="0"/>
        <v>0.15515922239999999</v>
      </c>
      <c r="D14" s="69">
        <f t="shared" si="0"/>
        <v>0</v>
      </c>
      <c r="E14" s="100">
        <f t="shared" si="1"/>
        <v>0.15515922239999999</v>
      </c>
      <c r="F14" s="101"/>
      <c r="G14" s="140" t="s">
        <v>181</v>
      </c>
      <c r="H14" s="144"/>
    </row>
    <row r="15" spans="1:10" x14ac:dyDescent="0.2">
      <c r="A15" s="4" t="s">
        <v>56</v>
      </c>
      <c r="B15" s="213">
        <v>0.11</v>
      </c>
      <c r="C15" s="69">
        <f t="shared" si="0"/>
        <v>6.0955408799999999E-2</v>
      </c>
      <c r="D15" s="69">
        <f t="shared" si="0"/>
        <v>0</v>
      </c>
      <c r="E15" s="100">
        <f t="shared" si="1"/>
        <v>6.0955408799999999E-2</v>
      </c>
      <c r="F15" s="101"/>
      <c r="G15" s="140" t="s">
        <v>181</v>
      </c>
      <c r="H15" s="144"/>
    </row>
    <row r="16" spans="1:10" x14ac:dyDescent="0.2">
      <c r="A16" s="20" t="s">
        <v>57</v>
      </c>
      <c r="B16" s="213"/>
      <c r="C16" s="69"/>
      <c r="D16" s="69"/>
      <c r="E16" s="100"/>
      <c r="F16" s="101"/>
      <c r="G16" s="140" t="s">
        <v>181</v>
      </c>
      <c r="H16" s="144"/>
    </row>
    <row r="17" spans="1:10" x14ac:dyDescent="0.2">
      <c r="A17" s="4" t="s">
        <v>58</v>
      </c>
      <c r="B17" s="213">
        <v>2.4</v>
      </c>
      <c r="C17" s="69">
        <f t="shared" si="0"/>
        <v>1.3299361919999999</v>
      </c>
      <c r="D17" s="69">
        <f t="shared" si="0"/>
        <v>0</v>
      </c>
      <c r="E17" s="100">
        <f t="shared" si="1"/>
        <v>1.3299361919999999</v>
      </c>
      <c r="F17" s="101"/>
      <c r="G17" s="140" t="s">
        <v>181</v>
      </c>
      <c r="H17" s="144"/>
    </row>
    <row r="18" spans="1:10" x14ac:dyDescent="0.2">
      <c r="A18" s="4" t="s">
        <v>59</v>
      </c>
      <c r="B18" s="213">
        <v>0.15</v>
      </c>
      <c r="C18" s="69">
        <f t="shared" si="0"/>
        <v>8.3121011999999994E-2</v>
      </c>
      <c r="D18" s="69">
        <f t="shared" si="0"/>
        <v>0</v>
      </c>
      <c r="E18" s="100">
        <f t="shared" si="1"/>
        <v>8.3121011999999994E-2</v>
      </c>
      <c r="F18" s="101"/>
      <c r="G18" s="140" t="s">
        <v>181</v>
      </c>
      <c r="H18" s="144"/>
    </row>
    <row r="19" spans="1:10" x14ac:dyDescent="0.2">
      <c r="A19" s="4" t="s">
        <v>60</v>
      </c>
      <c r="B19" s="213">
        <v>0.22</v>
      </c>
      <c r="C19" s="69">
        <f t="shared" si="0"/>
        <v>0.1219108176</v>
      </c>
      <c r="D19" s="69">
        <f t="shared" si="0"/>
        <v>0</v>
      </c>
      <c r="E19" s="100">
        <f t="shared" si="1"/>
        <v>0.1219108176</v>
      </c>
      <c r="F19" s="101"/>
      <c r="G19" s="140" t="s">
        <v>181</v>
      </c>
      <c r="H19" s="144"/>
    </row>
    <row r="20" spans="1:10" ht="15.75" x14ac:dyDescent="0.3">
      <c r="A20" s="4" t="s">
        <v>144</v>
      </c>
      <c r="B20" s="213">
        <v>0.01</v>
      </c>
      <c r="C20" s="69">
        <f t="shared" si="0"/>
        <v>5.5414007999999996E-3</v>
      </c>
      <c r="D20" s="69">
        <f t="shared" si="0"/>
        <v>0</v>
      </c>
      <c r="E20" s="100">
        <f t="shared" si="1"/>
        <v>5.5414007999999996E-3</v>
      </c>
      <c r="F20" s="101"/>
      <c r="G20" s="140" t="s">
        <v>181</v>
      </c>
      <c r="H20" s="144"/>
    </row>
    <row r="21" spans="1:10" ht="15.75" x14ac:dyDescent="0.3">
      <c r="A21" s="4" t="s">
        <v>145</v>
      </c>
      <c r="B21" s="213">
        <v>0.01</v>
      </c>
      <c r="C21" s="69">
        <f t="shared" si="0"/>
        <v>5.5414007999999996E-3</v>
      </c>
      <c r="D21" s="69">
        <f t="shared" si="0"/>
        <v>0</v>
      </c>
      <c r="E21" s="100">
        <f t="shared" si="1"/>
        <v>5.5414007999999996E-3</v>
      </c>
      <c r="F21" s="101"/>
      <c r="G21" s="140" t="s">
        <v>181</v>
      </c>
      <c r="H21" s="144"/>
    </row>
    <row r="22" spans="1:10" x14ac:dyDescent="0.2">
      <c r="A22" s="17" t="s">
        <v>61</v>
      </c>
      <c r="B22" s="214">
        <v>0.81</v>
      </c>
      <c r="C22" s="116">
        <f t="shared" si="0"/>
        <v>0.44885346479999999</v>
      </c>
      <c r="D22" s="116">
        <f t="shared" si="0"/>
        <v>0</v>
      </c>
      <c r="E22" s="154">
        <f t="shared" si="1"/>
        <v>0.44885346479999999</v>
      </c>
      <c r="F22" s="145"/>
      <c r="G22" s="146" t="s">
        <v>181</v>
      </c>
      <c r="H22" s="147"/>
    </row>
    <row r="23" spans="1:10" x14ac:dyDescent="0.2">
      <c r="A23" s="26" t="s">
        <v>2</v>
      </c>
      <c r="B23" s="148"/>
      <c r="C23" s="149">
        <f>SUM(C10:C22)</f>
        <v>210.1908737448</v>
      </c>
      <c r="D23" s="149">
        <f>SUM(D10:D22)</f>
        <v>0</v>
      </c>
      <c r="E23" s="150">
        <f>SUM(C23:D23)</f>
        <v>210.1908737448</v>
      </c>
    </row>
    <row r="24" spans="1:10" x14ac:dyDescent="0.2">
      <c r="A24" s="42"/>
      <c r="B24" s="74"/>
      <c r="C24" s="343"/>
      <c r="D24" s="343"/>
      <c r="E24" s="343"/>
    </row>
    <row r="25" spans="1:10" x14ac:dyDescent="0.2">
      <c r="B25" s="65"/>
      <c r="C25" s="69"/>
      <c r="D25" s="69"/>
      <c r="E25" s="69"/>
      <c r="F25" s="69"/>
    </row>
    <row r="26" spans="1:10" ht="15.75" x14ac:dyDescent="0.25">
      <c r="A26" s="292" t="s">
        <v>444</v>
      </c>
      <c r="B26" s="65"/>
    </row>
    <row r="27" spans="1:10" x14ac:dyDescent="0.2">
      <c r="B27" s="65"/>
    </row>
    <row r="28" spans="1:10" ht="27.75" x14ac:dyDescent="0.2">
      <c r="A28" s="316" t="s">
        <v>62</v>
      </c>
      <c r="B28" s="316" t="s">
        <v>206</v>
      </c>
      <c r="C28" s="316" t="s">
        <v>49</v>
      </c>
      <c r="D28" s="316" t="s">
        <v>73</v>
      </c>
      <c r="E28" s="316"/>
      <c r="F28" s="316"/>
      <c r="G28" s="316" t="s">
        <v>108</v>
      </c>
      <c r="H28" s="316"/>
      <c r="I28" s="316" t="s">
        <v>246</v>
      </c>
      <c r="J28" s="316" t="s">
        <v>247</v>
      </c>
    </row>
    <row r="29" spans="1:10" ht="15.75" x14ac:dyDescent="0.3">
      <c r="A29" s="4" t="s">
        <v>146</v>
      </c>
      <c r="B29" s="171">
        <f>I29*J29</f>
        <v>0</v>
      </c>
      <c r="C29" s="63">
        <f>(C10*$B29)</f>
        <v>0</v>
      </c>
      <c r="D29" s="63">
        <f>D10*B29</f>
        <v>0</v>
      </c>
      <c r="E29" s="72">
        <f t="shared" ref="E29:E35" si="2">SUM(C29:D29)</f>
        <v>0</v>
      </c>
      <c r="F29" s="4"/>
      <c r="H29" s="6"/>
      <c r="I29" s="171">
        <v>0</v>
      </c>
      <c r="J29" s="155">
        <f>'1-Nominal Adjustment'!$L$5</f>
        <v>1.0700704879128116</v>
      </c>
    </row>
    <row r="30" spans="1:10" ht="15.75" x14ac:dyDescent="0.3">
      <c r="A30" s="4" t="s">
        <v>147</v>
      </c>
      <c r="B30" s="171">
        <f t="shared" ref="B30:B34" si="3">I30*J30</f>
        <v>46709.64686788214</v>
      </c>
      <c r="C30" s="63">
        <f>C11*$B30</f>
        <v>517.67374904279916</v>
      </c>
      <c r="D30" s="63">
        <f>D11*B30</f>
        <v>0</v>
      </c>
      <c r="E30" s="72">
        <f t="shared" si="2"/>
        <v>517.67374904279916</v>
      </c>
      <c r="F30" s="4"/>
      <c r="G30" s="5" t="s">
        <v>152</v>
      </c>
      <c r="H30" s="6"/>
      <c r="I30" s="171">
        <v>43651</v>
      </c>
      <c r="J30" s="155">
        <f>J29</f>
        <v>1.0700704879128116</v>
      </c>
    </row>
    <row r="31" spans="1:10" x14ac:dyDescent="0.2">
      <c r="A31" s="4" t="s">
        <v>53</v>
      </c>
      <c r="B31" s="171">
        <f t="shared" si="3"/>
        <v>1369.6902245283989</v>
      </c>
      <c r="C31" s="63">
        <f>(C12+C17)*$B31</f>
        <v>9032.1029820850799</v>
      </c>
      <c r="D31" s="63">
        <f>(D12+D17)*B31</f>
        <v>0</v>
      </c>
      <c r="E31" s="72">
        <f t="shared" si="2"/>
        <v>9032.1029820850799</v>
      </c>
      <c r="F31" s="4"/>
      <c r="G31" s="31" t="s">
        <v>193</v>
      </c>
      <c r="H31" s="6"/>
      <c r="I31" s="171">
        <v>1280</v>
      </c>
      <c r="J31" s="155">
        <f t="shared" ref="J31:J34" si="4">J30</f>
        <v>1.0700704879128116</v>
      </c>
    </row>
    <row r="32" spans="1:10" ht="15.75" x14ac:dyDescent="0.3">
      <c r="A32" s="4" t="s">
        <v>148</v>
      </c>
      <c r="B32" s="171">
        <f t="shared" si="3"/>
        <v>7902.4705532361131</v>
      </c>
      <c r="C32" s="63">
        <f>(C13+C18)*$B32</f>
        <v>4160.1218813395089</v>
      </c>
      <c r="D32" s="63">
        <f>(D13+D18)*B32</f>
        <v>0</v>
      </c>
      <c r="E32" s="72">
        <f t="shared" si="2"/>
        <v>4160.1218813395089</v>
      </c>
      <c r="F32" s="4"/>
      <c r="G32" s="5" t="s">
        <v>152</v>
      </c>
      <c r="H32" s="6"/>
      <c r="I32" s="171">
        <v>7385</v>
      </c>
      <c r="J32" s="155">
        <f t="shared" si="4"/>
        <v>1.0700704879128116</v>
      </c>
    </row>
    <row r="33" spans="1:10" x14ac:dyDescent="0.2">
      <c r="A33" s="4" t="s">
        <v>55</v>
      </c>
      <c r="B33" s="171">
        <f t="shared" si="3"/>
        <v>2005.312094348609</v>
      </c>
      <c r="C33" s="63">
        <f>(C14+C19+C22)*$B33</f>
        <v>1455.7031837473705</v>
      </c>
      <c r="D33" s="63">
        <f>(D14+D22)*B33</f>
        <v>0</v>
      </c>
      <c r="E33" s="72">
        <f t="shared" si="2"/>
        <v>1455.7031837473705</v>
      </c>
      <c r="F33" s="4"/>
      <c r="G33" s="5" t="s">
        <v>152</v>
      </c>
      <c r="H33" s="6"/>
      <c r="I33" s="171">
        <v>1874</v>
      </c>
      <c r="J33" s="155">
        <f t="shared" si="4"/>
        <v>1.0700704879128116</v>
      </c>
    </row>
    <row r="34" spans="1:10" ht="16.5" thickBot="1" x14ac:dyDescent="0.35">
      <c r="A34" s="4" t="s">
        <v>149</v>
      </c>
      <c r="B34" s="171">
        <f t="shared" si="3"/>
        <v>361531.87490524672</v>
      </c>
      <c r="C34" s="63">
        <f>(C15+C20+C21)*$B34</f>
        <v>26044.109270730642</v>
      </c>
      <c r="D34" s="63">
        <f>(D15+D20+D21)*B34</f>
        <v>0</v>
      </c>
      <c r="E34" s="72">
        <f t="shared" si="2"/>
        <v>26044.109270730642</v>
      </c>
      <c r="F34" s="4"/>
      <c r="G34" s="5" t="s">
        <v>152</v>
      </c>
      <c r="H34" s="6"/>
      <c r="I34" s="171">
        <v>337858</v>
      </c>
      <c r="J34" s="155">
        <f t="shared" si="4"/>
        <v>1.0700704879128116</v>
      </c>
    </row>
    <row r="35" spans="1:10" ht="13.5" thickBot="1" x14ac:dyDescent="0.25">
      <c r="A35" s="156" t="s">
        <v>2</v>
      </c>
      <c r="B35" s="157"/>
      <c r="C35" s="158">
        <f>SUM(C29:C34)</f>
        <v>41209.711066945398</v>
      </c>
      <c r="D35" s="158">
        <f>SUM(D29:D34)</f>
        <v>0</v>
      </c>
      <c r="E35" s="242">
        <f t="shared" si="2"/>
        <v>41209.711066945398</v>
      </c>
      <c r="F35" s="32"/>
      <c r="G35" s="32"/>
      <c r="H35" s="18"/>
      <c r="I35" s="157"/>
      <c r="J35" s="157"/>
    </row>
    <row r="36" spans="1:10" x14ac:dyDescent="0.2">
      <c r="A36" s="31"/>
      <c r="B36" s="40"/>
      <c r="C36" s="41"/>
      <c r="D36" s="41"/>
      <c r="E36" s="41"/>
      <c r="F36" s="41"/>
    </row>
    <row r="39" spans="1:10" ht="15.75" x14ac:dyDescent="0.25">
      <c r="A39" s="292" t="s">
        <v>3</v>
      </c>
      <c r="B39" s="40"/>
      <c r="C39" s="41"/>
      <c r="D39" s="41"/>
      <c r="E39" s="41"/>
      <c r="F39" s="41"/>
    </row>
    <row r="40" spans="1:10" ht="45" customHeight="1" x14ac:dyDescent="0.2">
      <c r="A40" s="358" t="s">
        <v>150</v>
      </c>
      <c r="B40" s="358"/>
      <c r="C40" s="358"/>
      <c r="D40" s="358"/>
      <c r="E40" s="358"/>
      <c r="F40" s="358"/>
      <c r="G40" s="358"/>
    </row>
    <row r="41" spans="1:10" ht="32.1" customHeight="1" x14ac:dyDescent="0.2">
      <c r="A41" s="358" t="s">
        <v>151</v>
      </c>
      <c r="B41" s="358"/>
      <c r="C41" s="358"/>
      <c r="D41" s="358"/>
      <c r="E41" s="358"/>
      <c r="F41" s="358"/>
      <c r="G41" s="358"/>
    </row>
    <row r="42" spans="1:10" ht="30" customHeight="1" x14ac:dyDescent="0.2">
      <c r="A42" s="367" t="s">
        <v>192</v>
      </c>
      <c r="B42" s="367"/>
      <c r="C42" s="367"/>
      <c r="D42" s="367"/>
      <c r="E42" s="367"/>
      <c r="F42" s="367"/>
      <c r="G42" s="367"/>
    </row>
    <row r="43" spans="1:10" ht="20.25" customHeight="1" x14ac:dyDescent="0.2">
      <c r="F43" s="41"/>
    </row>
    <row r="45" spans="1:10" x14ac:dyDescent="0.2">
      <c r="A45" s="21"/>
    </row>
  </sheetData>
  <mergeCells count="3">
    <mergeCell ref="A40:G40"/>
    <mergeCell ref="A41:G41"/>
    <mergeCell ref="A42:G42"/>
  </mergeCells>
  <phoneticPr fontId="2" type="noConversion"/>
  <printOptions horizontalCentered="1"/>
  <pageMargins left="0.5" right="0.5" top="1" bottom="0.75" header="0.5" footer="0.5"/>
  <pageSetup scale="75" orientation="landscape" r:id="rId1"/>
  <headerFooter alignWithMargins="0">
    <oddHeader>&amp;L&amp;"Arial Narrow,Regular"&amp;12&amp;K000000&amp;D&amp;C&amp;"Arial Narrow,Bold"&amp;14&amp;K000000TIGER V - Ardmore TOD Cost Benefit Analysis</oddHeader>
    <oddFooter>&amp;L&amp;A&amp;C&amp;"Arial Narrow,Regular"&amp;12&amp;P of &amp;N</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K63"/>
  <sheetViews>
    <sheetView topLeftCell="A10" zoomScaleNormal="100" workbookViewId="0">
      <selection activeCell="A21" sqref="A21"/>
    </sheetView>
  </sheetViews>
  <sheetFormatPr defaultColWidth="11.42578125" defaultRowHeight="12.75" x14ac:dyDescent="0.2"/>
  <cols>
    <col min="1" max="1" width="40.85546875" style="5" customWidth="1"/>
    <col min="2" max="2" width="17" style="5" customWidth="1"/>
    <col min="3" max="3" width="13.7109375" style="5" customWidth="1"/>
    <col min="4" max="4" width="18.5703125" style="5" customWidth="1"/>
    <col min="5" max="5" width="31.140625" style="5" customWidth="1"/>
    <col min="6" max="6" width="16.85546875" style="5" customWidth="1"/>
    <col min="7" max="7" width="2.42578125" style="5" customWidth="1"/>
    <col min="8" max="8" width="22" style="5" bestFit="1" customWidth="1"/>
    <col min="9" max="10" width="11.42578125" style="5" customWidth="1"/>
    <col min="11" max="11" width="20.7109375" style="5" customWidth="1"/>
    <col min="12" max="12" width="11.42578125" style="5" customWidth="1"/>
    <col min="13" max="13" width="2.140625" style="5" customWidth="1"/>
    <col min="14" max="16384" width="11.42578125" style="5"/>
  </cols>
  <sheetData>
    <row r="1" spans="1:6" ht="18" x14ac:dyDescent="0.25">
      <c r="A1" s="295" t="s">
        <v>351</v>
      </c>
    </row>
    <row r="3" spans="1:6" ht="15.75" x14ac:dyDescent="0.25">
      <c r="A3" s="292" t="s">
        <v>445</v>
      </c>
    </row>
    <row r="4" spans="1:6" x14ac:dyDescent="0.2">
      <c r="A4" s="21"/>
    </row>
    <row r="5" spans="1:6" x14ac:dyDescent="0.2">
      <c r="A5" s="316" t="s">
        <v>0</v>
      </c>
      <c r="B5" s="316"/>
      <c r="C5" s="316" t="s">
        <v>1</v>
      </c>
      <c r="D5" s="316" t="s">
        <v>108</v>
      </c>
      <c r="E5" s="316"/>
      <c r="F5" s="316"/>
    </row>
    <row r="6" spans="1:6" x14ac:dyDescent="0.2">
      <c r="A6" s="4" t="s">
        <v>89</v>
      </c>
      <c r="B6" s="66" t="s">
        <v>123</v>
      </c>
      <c r="C6" s="135">
        <f>'2-Reduced Local Traffic'!B8</f>
        <v>554140.07999999996</v>
      </c>
      <c r="D6" s="31" t="s">
        <v>109</v>
      </c>
      <c r="E6" s="31"/>
      <c r="F6" s="6"/>
    </row>
    <row r="7" spans="1:6" x14ac:dyDescent="0.2">
      <c r="A7" s="4" t="s">
        <v>112</v>
      </c>
      <c r="B7" s="66" t="s">
        <v>124</v>
      </c>
      <c r="C7" s="215">
        <v>1.1000000000000001</v>
      </c>
      <c r="D7" s="31" t="s">
        <v>202</v>
      </c>
      <c r="E7" s="31"/>
      <c r="F7" s="6"/>
    </row>
    <row r="8" spans="1:6" x14ac:dyDescent="0.2">
      <c r="A8" s="30" t="s">
        <v>16</v>
      </c>
      <c r="B8" s="66" t="s">
        <v>125</v>
      </c>
      <c r="C8" s="97">
        <f>(C6/100000000)*C7</f>
        <v>6.0955408799999999E-3</v>
      </c>
      <c r="D8" s="159" t="s">
        <v>132</v>
      </c>
      <c r="E8" s="31"/>
      <c r="F8" s="6"/>
    </row>
    <row r="9" spans="1:6" ht="13.5" thickBot="1" x14ac:dyDescent="0.25">
      <c r="A9" s="30" t="s">
        <v>102</v>
      </c>
      <c r="B9" s="66" t="s">
        <v>126</v>
      </c>
      <c r="C9" s="45">
        <f>C63</f>
        <v>9497043.4322361704</v>
      </c>
      <c r="D9" s="31" t="s">
        <v>325</v>
      </c>
      <c r="E9" s="31"/>
      <c r="F9" s="6"/>
    </row>
    <row r="10" spans="1:6" ht="13.5" thickBot="1" x14ac:dyDescent="0.25">
      <c r="A10" s="30" t="s">
        <v>121</v>
      </c>
      <c r="B10" s="66" t="s">
        <v>127</v>
      </c>
      <c r="C10" s="244">
        <f>C8*C9</f>
        <v>57889.616480331089</v>
      </c>
      <c r="D10" s="159" t="s">
        <v>133</v>
      </c>
      <c r="E10" s="31"/>
      <c r="F10" s="6"/>
    </row>
    <row r="11" spans="1:6" x14ac:dyDescent="0.2">
      <c r="A11" s="4"/>
      <c r="B11" s="16"/>
      <c r="C11" s="6"/>
      <c r="F11" s="6"/>
    </row>
    <row r="12" spans="1:6" ht="15" x14ac:dyDescent="0.2">
      <c r="A12" s="4" t="s">
        <v>110</v>
      </c>
      <c r="B12" s="16" t="s">
        <v>128</v>
      </c>
      <c r="C12" s="216">
        <v>75</v>
      </c>
      <c r="D12" s="208" t="s">
        <v>203</v>
      </c>
      <c r="E12" s="31"/>
      <c r="F12" s="6"/>
    </row>
    <row r="13" spans="1:6" x14ac:dyDescent="0.2">
      <c r="A13" s="30" t="s">
        <v>15</v>
      </c>
      <c r="B13" s="67" t="s">
        <v>129</v>
      </c>
      <c r="C13" s="97">
        <f>(C6/100000000)*C12</f>
        <v>0.41560505999999997</v>
      </c>
      <c r="D13" s="68" t="s">
        <v>135</v>
      </c>
      <c r="F13" s="6"/>
    </row>
    <row r="14" spans="1:6" ht="13.5" thickBot="1" x14ac:dyDescent="0.25">
      <c r="A14" s="30" t="s">
        <v>120</v>
      </c>
      <c r="B14" s="67" t="s">
        <v>130</v>
      </c>
      <c r="C14" s="72">
        <f>F41</f>
        <v>232275.75572214506</v>
      </c>
      <c r="D14" s="5" t="s">
        <v>174</v>
      </c>
      <c r="F14" s="6"/>
    </row>
    <row r="15" spans="1:6" ht="13.5" thickBot="1" x14ac:dyDescent="0.25">
      <c r="A15" s="30" t="s">
        <v>122</v>
      </c>
      <c r="B15" s="67" t="s">
        <v>131</v>
      </c>
      <c r="C15" s="245">
        <f>C13*C14</f>
        <v>96534.979393447429</v>
      </c>
      <c r="D15" s="68" t="s">
        <v>134</v>
      </c>
      <c r="F15" s="6"/>
    </row>
    <row r="16" spans="1:6" x14ac:dyDescent="0.2">
      <c r="A16" s="98"/>
      <c r="B16" s="160"/>
      <c r="C16" s="161"/>
      <c r="D16" s="32"/>
      <c r="E16" s="32"/>
      <c r="F16" s="18"/>
    </row>
    <row r="17" spans="1:9" x14ac:dyDescent="0.2">
      <c r="A17" s="31"/>
      <c r="B17" s="44"/>
      <c r="C17" s="44"/>
    </row>
    <row r="18" spans="1:9" x14ac:dyDescent="0.2">
      <c r="A18" s="31"/>
      <c r="B18" s="44"/>
      <c r="C18" s="44"/>
    </row>
    <row r="19" spans="1:9" ht="15.75" x14ac:dyDescent="0.25">
      <c r="A19" s="292" t="s">
        <v>446</v>
      </c>
      <c r="B19" s="293"/>
      <c r="C19" s="44"/>
    </row>
    <row r="20" spans="1:9" ht="15.75" x14ac:dyDescent="0.25">
      <c r="A20" s="294"/>
      <c r="B20" s="293"/>
      <c r="C20" s="44"/>
    </row>
    <row r="21" spans="1:9" ht="26.25" x14ac:dyDescent="0.25">
      <c r="A21" s="316" t="s">
        <v>302</v>
      </c>
      <c r="B21" s="316" t="s">
        <v>1</v>
      </c>
      <c r="C21" s="316" t="s">
        <v>323</v>
      </c>
      <c r="D21" s="316" t="s">
        <v>324</v>
      </c>
    </row>
    <row r="22" spans="1:9" x14ac:dyDescent="0.2">
      <c r="A22" s="4" t="s">
        <v>303</v>
      </c>
      <c r="B22" s="31">
        <v>0.25</v>
      </c>
      <c r="C22" s="306">
        <f>C54</f>
        <v>3939.9995364949723</v>
      </c>
      <c r="D22" s="344">
        <f>B22*C22</f>
        <v>984.99988412374307</v>
      </c>
    </row>
    <row r="23" spans="1:9" x14ac:dyDescent="0.2">
      <c r="A23" s="4" t="s">
        <v>304</v>
      </c>
      <c r="B23" s="31">
        <v>1</v>
      </c>
      <c r="C23" s="306">
        <f>F41</f>
        <v>232275.75572214506</v>
      </c>
      <c r="D23" s="344">
        <f t="shared" ref="D23:D26" si="0">B23*C23</f>
        <v>232275.75572214506</v>
      </c>
    </row>
    <row r="24" spans="1:9" x14ac:dyDescent="0.2">
      <c r="A24" s="4" t="s">
        <v>305</v>
      </c>
      <c r="B24" s="31">
        <v>0.01</v>
      </c>
      <c r="C24" s="306">
        <f>B33</f>
        <v>9497043.4322361704</v>
      </c>
      <c r="D24" s="344">
        <f t="shared" si="0"/>
        <v>94970.434322361703</v>
      </c>
    </row>
    <row r="25" spans="1:9" x14ac:dyDescent="0.2">
      <c r="A25" s="4" t="s">
        <v>306</v>
      </c>
      <c r="B25" s="31">
        <v>0.3</v>
      </c>
      <c r="C25" s="306">
        <f>F41</f>
        <v>232275.75572214506</v>
      </c>
      <c r="D25" s="344">
        <f t="shared" si="0"/>
        <v>69682.726716643519</v>
      </c>
    </row>
    <row r="26" spans="1:9" x14ac:dyDescent="0.2">
      <c r="A26" s="4" t="s">
        <v>307</v>
      </c>
      <c r="B26" s="31">
        <v>0.25</v>
      </c>
      <c r="C26" s="306">
        <f>F41</f>
        <v>232275.75572214506</v>
      </c>
      <c r="D26" s="344">
        <f t="shared" si="0"/>
        <v>58068.938930536264</v>
      </c>
    </row>
    <row r="27" spans="1:9" x14ac:dyDescent="0.2">
      <c r="A27" s="315" t="s">
        <v>2</v>
      </c>
      <c r="B27" s="126"/>
      <c r="C27" s="345"/>
      <c r="D27" s="346">
        <f>SUM(D22:D26)</f>
        <v>455982.8555758103</v>
      </c>
    </row>
    <row r="28" spans="1:9" x14ac:dyDescent="0.2">
      <c r="B28" s="31"/>
      <c r="C28" s="44"/>
      <c r="D28" s="305"/>
    </row>
    <row r="29" spans="1:9" x14ac:dyDescent="0.2">
      <c r="A29" s="31"/>
      <c r="B29" s="44"/>
      <c r="C29" s="44"/>
    </row>
    <row r="30" spans="1:9" ht="15.75" x14ac:dyDescent="0.25">
      <c r="A30" s="292" t="s">
        <v>449</v>
      </c>
    </row>
    <row r="31" spans="1:9" x14ac:dyDescent="0.2">
      <c r="C31" s="64"/>
      <c r="D31" s="64"/>
    </row>
    <row r="32" spans="1:9" ht="25.5" x14ac:dyDescent="0.2">
      <c r="A32" s="316" t="s">
        <v>118</v>
      </c>
      <c r="B32" s="316" t="s">
        <v>101</v>
      </c>
      <c r="C32" s="316" t="s">
        <v>242</v>
      </c>
      <c r="D32" s="316" t="s">
        <v>114</v>
      </c>
      <c r="E32" s="316" t="s">
        <v>115</v>
      </c>
      <c r="F32" s="316" t="s">
        <v>116</v>
      </c>
      <c r="G32" s="316"/>
      <c r="H32" s="316" t="s">
        <v>108</v>
      </c>
      <c r="I32" s="316"/>
    </row>
    <row r="33" spans="1:11" x14ac:dyDescent="0.2">
      <c r="A33" s="4" t="s">
        <v>102</v>
      </c>
      <c r="B33" s="121">
        <f>C63</f>
        <v>9497043.4322361704</v>
      </c>
      <c r="G33" s="4"/>
      <c r="H33" s="5" t="s">
        <v>111</v>
      </c>
      <c r="I33" s="6"/>
    </row>
    <row r="34" spans="1:11" x14ac:dyDescent="0.2">
      <c r="A34" s="4"/>
      <c r="B34" s="31"/>
      <c r="C34" s="31"/>
      <c r="D34" s="31"/>
      <c r="E34" s="31"/>
      <c r="F34" s="31"/>
      <c r="G34" s="30"/>
      <c r="H34" s="31" t="s">
        <v>119</v>
      </c>
      <c r="I34" s="6"/>
    </row>
    <row r="35" spans="1:11" x14ac:dyDescent="0.2">
      <c r="A35" s="4" t="s">
        <v>113</v>
      </c>
      <c r="B35" s="172">
        <v>0</v>
      </c>
      <c r="C35" s="121">
        <f t="shared" ref="C35:C40" si="1">B$33*B35</f>
        <v>0</v>
      </c>
      <c r="D35" s="173">
        <v>0.43675999999999998</v>
      </c>
      <c r="E35" s="173">
        <v>0</v>
      </c>
      <c r="F35" s="121">
        <f t="shared" ref="F35:F39" si="2">C35*E35</f>
        <v>0</v>
      </c>
      <c r="G35" s="30"/>
      <c r="H35" s="31" t="s">
        <v>119</v>
      </c>
      <c r="I35" s="163">
        <v>0.89</v>
      </c>
      <c r="K35" s="16" t="s">
        <v>243</v>
      </c>
    </row>
    <row r="36" spans="1:11" x14ac:dyDescent="0.2">
      <c r="A36" s="4" t="s">
        <v>39</v>
      </c>
      <c r="B36" s="174">
        <v>3.0000000000000001E-3</v>
      </c>
      <c r="C36" s="217">
        <f>B$33*B36</f>
        <v>28491.13029670851</v>
      </c>
      <c r="D36" s="173">
        <v>0.41738999999999998</v>
      </c>
      <c r="E36" s="173">
        <f>D36/(1-$D$35)</f>
        <v>0.74105177189120097</v>
      </c>
      <c r="F36" s="121">
        <f t="shared" si="2"/>
        <v>21113.402589558918</v>
      </c>
      <c r="G36" s="30"/>
      <c r="H36" s="31" t="s">
        <v>119</v>
      </c>
      <c r="I36" s="163">
        <v>0.08</v>
      </c>
      <c r="K36" s="247">
        <f>C36/$C$62</f>
        <v>27600</v>
      </c>
    </row>
    <row r="37" spans="1:11" x14ac:dyDescent="0.2">
      <c r="A37" s="4" t="s">
        <v>40</v>
      </c>
      <c r="B37" s="174">
        <v>4.7E-2</v>
      </c>
      <c r="C37" s="217">
        <f>B$33*B37</f>
        <v>446361.04131509998</v>
      </c>
      <c r="D37" s="173">
        <v>8.8719999999999993E-2</v>
      </c>
      <c r="E37" s="173">
        <f>D37/(1-$D$35)</f>
        <v>0.15751722178822528</v>
      </c>
      <c r="F37" s="121">
        <f>C37*E37</f>
        <v>70309.551142453784</v>
      </c>
      <c r="G37" s="30"/>
      <c r="H37" s="31" t="s">
        <v>119</v>
      </c>
      <c r="I37" s="163">
        <v>0.02</v>
      </c>
      <c r="K37" s="247">
        <f t="shared" ref="K37:K40" si="3">C37/$C$62</f>
        <v>432400</v>
      </c>
    </row>
    <row r="38" spans="1:11" x14ac:dyDescent="0.2">
      <c r="A38" s="4" t="s">
        <v>41</v>
      </c>
      <c r="B38" s="174">
        <v>0.105</v>
      </c>
      <c r="C38" s="121">
        <f t="shared" si="1"/>
        <v>997189.56038479786</v>
      </c>
      <c r="D38" s="173">
        <v>4.8169999999999998E-2</v>
      </c>
      <c r="E38" s="173">
        <f>D38/(1-$D$35)</f>
        <v>8.5523045238264331E-2</v>
      </c>
      <c r="F38" s="121">
        <f t="shared" si="2"/>
        <v>85282.687883913983</v>
      </c>
      <c r="G38" s="30"/>
      <c r="H38" s="31" t="s">
        <v>119</v>
      </c>
      <c r="I38" s="163">
        <v>0.01</v>
      </c>
      <c r="K38" s="247">
        <f t="shared" si="3"/>
        <v>966000</v>
      </c>
    </row>
    <row r="39" spans="1:11" x14ac:dyDescent="0.2">
      <c r="A39" s="4" t="s">
        <v>42</v>
      </c>
      <c r="B39" s="174">
        <v>0.26600000000000001</v>
      </c>
      <c r="C39" s="121">
        <f t="shared" si="1"/>
        <v>2526213.5529748215</v>
      </c>
      <c r="D39" s="173">
        <v>6.1700000000000001E-3</v>
      </c>
      <c r="E39" s="173">
        <f>D39/(1-$D$35)</f>
        <v>1.095447766493857E-2</v>
      </c>
      <c r="F39" s="121">
        <f t="shared" si="2"/>
        <v>27673.349942927791</v>
      </c>
      <c r="G39" s="30"/>
      <c r="H39" s="31" t="s">
        <v>119</v>
      </c>
      <c r="I39" s="163">
        <v>0.01</v>
      </c>
      <c r="K39" s="247">
        <f t="shared" si="3"/>
        <v>2447200</v>
      </c>
    </row>
    <row r="40" spans="1:11" x14ac:dyDescent="0.2">
      <c r="A40" s="4" t="s">
        <v>43</v>
      </c>
      <c r="B40" s="174">
        <v>0.59299999999999997</v>
      </c>
      <c r="C40" s="121">
        <f t="shared" si="1"/>
        <v>5631746.7553160489</v>
      </c>
      <c r="D40" s="173">
        <v>2.7899999999999999E-3</v>
      </c>
      <c r="E40" s="173">
        <f>D40/(1-$D$35)</f>
        <v>4.9534834173709259E-3</v>
      </c>
      <c r="F40" s="121">
        <f>C40*E40</f>
        <v>27896.764163290565</v>
      </c>
      <c r="G40" s="30"/>
      <c r="H40" s="31" t="s">
        <v>119</v>
      </c>
      <c r="I40" s="6"/>
      <c r="K40" s="247">
        <f t="shared" si="3"/>
        <v>5455600</v>
      </c>
    </row>
    <row r="41" spans="1:11" x14ac:dyDescent="0.2">
      <c r="A41" s="17" t="s">
        <v>117</v>
      </c>
      <c r="B41" s="32"/>
      <c r="C41" s="32"/>
      <c r="D41" s="136">
        <f>SUM(D35:D40)</f>
        <v>1</v>
      </c>
      <c r="E41" s="136">
        <f>SUM(E35:E40)</f>
        <v>1.0000000000000002</v>
      </c>
      <c r="F41" s="79">
        <f>SUM(F36:F40)</f>
        <v>232275.75572214506</v>
      </c>
      <c r="G41" s="17"/>
      <c r="H41" s="32"/>
      <c r="I41" s="18"/>
    </row>
    <row r="44" spans="1:11" ht="15.75" x14ac:dyDescent="0.25">
      <c r="A44" s="292" t="s">
        <v>448</v>
      </c>
    </row>
    <row r="46" spans="1:11" x14ac:dyDescent="0.2">
      <c r="A46" s="316" t="s">
        <v>0</v>
      </c>
      <c r="B46" s="316"/>
      <c r="C46" s="316" t="s">
        <v>1</v>
      </c>
      <c r="D46" s="316"/>
      <c r="E46" s="316"/>
      <c r="F46" s="316"/>
      <c r="G46" s="316"/>
      <c r="H46" s="316"/>
      <c r="I46" s="316"/>
      <c r="J46" s="220"/>
      <c r="K46" s="221"/>
    </row>
    <row r="47" spans="1:11" x14ac:dyDescent="0.2">
      <c r="A47" s="30" t="s">
        <v>139</v>
      </c>
      <c r="B47" s="44"/>
      <c r="C47" s="97"/>
      <c r="I47" s="6"/>
      <c r="K47" s="6"/>
    </row>
    <row r="48" spans="1:11" x14ac:dyDescent="0.2">
      <c r="A48" s="30" t="s">
        <v>136</v>
      </c>
      <c r="B48" s="44"/>
      <c r="C48" s="135">
        <v>5338000</v>
      </c>
      <c r="D48" s="5" t="s">
        <v>208</v>
      </c>
      <c r="I48" s="6"/>
      <c r="K48" s="6"/>
    </row>
    <row r="49" spans="1:11" x14ac:dyDescent="0.2">
      <c r="A49" s="30" t="s">
        <v>137</v>
      </c>
      <c r="B49" s="44"/>
      <c r="C49" s="135">
        <v>2946000000000</v>
      </c>
      <c r="D49" s="5" t="s">
        <v>209</v>
      </c>
      <c r="I49" s="6"/>
      <c r="K49" s="6"/>
    </row>
    <row r="50" spans="1:11" x14ac:dyDescent="0.2">
      <c r="A50" s="30" t="s">
        <v>138</v>
      </c>
      <c r="B50" s="44"/>
      <c r="C50" s="162">
        <f>C48/C49</f>
        <v>1.8119484046164291E-6</v>
      </c>
      <c r="I50" s="6"/>
      <c r="K50" s="6"/>
    </row>
    <row r="51" spans="1:11" x14ac:dyDescent="0.2">
      <c r="A51" s="30" t="s">
        <v>139</v>
      </c>
      <c r="B51" s="44"/>
      <c r="C51" s="97">
        <f>C6*C50</f>
        <v>1.0040732338900202</v>
      </c>
      <c r="I51" s="6"/>
      <c r="K51" s="6"/>
    </row>
    <row r="52" spans="1:11" x14ac:dyDescent="0.2">
      <c r="A52" s="30" t="s">
        <v>204</v>
      </c>
      <c r="B52" s="44"/>
      <c r="C52" s="45">
        <v>3682</v>
      </c>
      <c r="D52" s="5" t="s">
        <v>111</v>
      </c>
      <c r="I52" s="6"/>
      <c r="K52" s="6"/>
    </row>
    <row r="53" spans="1:11" x14ac:dyDescent="0.2">
      <c r="A53" s="4" t="s">
        <v>244</v>
      </c>
      <c r="B53" s="44"/>
      <c r="C53" s="209">
        <f>'1-Nominal Adjustment'!L5</f>
        <v>1.0700704879128116</v>
      </c>
      <c r="I53" s="6"/>
      <c r="K53" s="6"/>
    </row>
    <row r="54" spans="1:11" ht="13.5" thickBot="1" x14ac:dyDescent="0.25">
      <c r="A54" s="30" t="s">
        <v>245</v>
      </c>
      <c r="B54" s="44"/>
      <c r="C54" s="45">
        <f>C53*C52</f>
        <v>3939.9995364949723</v>
      </c>
      <c r="I54" s="6"/>
      <c r="K54" s="6"/>
    </row>
    <row r="55" spans="1:11" ht="13.5" thickBot="1" x14ac:dyDescent="0.25">
      <c r="A55" s="98" t="s">
        <v>140</v>
      </c>
      <c r="B55" s="32"/>
      <c r="C55" s="245">
        <f>C51*C54</f>
        <v>3956.0480761336876</v>
      </c>
      <c r="D55" s="32"/>
      <c r="E55" s="32"/>
      <c r="F55" s="32"/>
      <c r="G55" s="32"/>
      <c r="H55" s="32"/>
      <c r="I55" s="18"/>
      <c r="J55" s="32"/>
      <c r="K55" s="18"/>
    </row>
    <row r="56" spans="1:11" x14ac:dyDescent="0.2">
      <c r="C56" s="63"/>
    </row>
    <row r="57" spans="1:11" x14ac:dyDescent="0.2">
      <c r="C57" s="63"/>
    </row>
    <row r="58" spans="1:11" ht="15.75" x14ac:dyDescent="0.25">
      <c r="A58" s="292" t="s">
        <v>447</v>
      </c>
    </row>
    <row r="60" spans="1:11" x14ac:dyDescent="0.2">
      <c r="A60" s="316" t="s">
        <v>0</v>
      </c>
      <c r="B60" s="316"/>
      <c r="C60" s="316" t="s">
        <v>1</v>
      </c>
      <c r="D60" s="316" t="s">
        <v>108</v>
      </c>
      <c r="E60" s="316"/>
    </row>
    <row r="61" spans="1:11" x14ac:dyDescent="0.2">
      <c r="A61" s="4" t="s">
        <v>239</v>
      </c>
      <c r="C61" s="120">
        <v>9200000</v>
      </c>
      <c r="D61" s="5" t="s">
        <v>111</v>
      </c>
      <c r="E61" s="6"/>
    </row>
    <row r="62" spans="1:11" x14ac:dyDescent="0.2">
      <c r="A62" s="4" t="s">
        <v>240</v>
      </c>
      <c r="C62" s="155">
        <f>'1-Nominal Adjustment'!N5</f>
        <v>1.0322873295908881</v>
      </c>
      <c r="D62" s="31" t="s">
        <v>178</v>
      </c>
      <c r="E62" s="6"/>
    </row>
    <row r="63" spans="1:11" x14ac:dyDescent="0.2">
      <c r="A63" s="17" t="s">
        <v>241</v>
      </c>
      <c r="B63" s="32"/>
      <c r="C63" s="246">
        <f>C61*C62</f>
        <v>9497043.4322361704</v>
      </c>
      <c r="D63" s="32"/>
      <c r="E63" s="18"/>
    </row>
  </sheetData>
  <phoneticPr fontId="2" type="noConversion"/>
  <printOptions horizontalCentered="1"/>
  <pageMargins left="0.5" right="0.5" top="1" bottom="0.75" header="0.5" footer="0.5"/>
  <pageSetup scale="63" orientation="landscape" r:id="rId1"/>
  <headerFooter alignWithMargins="0">
    <oddHeader>&amp;L&amp;"Arial Narrow,Regular"&amp;12&amp;K000000&amp;D&amp;C&amp;"Arial Narrow,Bold"&amp;14&amp;K000000TIGER V - Ardmore TOD Cost Benefit Analysis</oddHeader>
    <oddFooter>&amp;L&amp;A&amp;C&amp;"Arial Narrow,Regular"&amp;12&amp;P of &amp;N</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dimension ref="A1:AC92"/>
  <sheetViews>
    <sheetView zoomScaleNormal="100" workbookViewId="0">
      <selection activeCell="A26" sqref="A26:B26"/>
    </sheetView>
  </sheetViews>
  <sheetFormatPr defaultColWidth="8.85546875" defaultRowHeight="12.75" x14ac:dyDescent="0.2"/>
  <cols>
    <col min="1" max="1" width="61.140625" style="3" customWidth="1"/>
    <col min="2" max="2" width="14.42578125" style="3" customWidth="1"/>
    <col min="3" max="3" width="11.7109375" style="3" bestFit="1" customWidth="1"/>
    <col min="4" max="4" width="12.42578125" style="3" customWidth="1"/>
    <col min="5" max="5" width="22.42578125" style="3" customWidth="1"/>
    <col min="6" max="6" width="16.140625" style="3" customWidth="1"/>
    <col min="7" max="7" width="27.42578125" style="3" bestFit="1" customWidth="1"/>
    <col min="8" max="8" width="8.28515625" style="3" customWidth="1"/>
    <col min="9" max="9" width="2.85546875" style="3" customWidth="1"/>
    <col min="10" max="16384" width="8.85546875" style="3"/>
  </cols>
  <sheetData>
    <row r="1" spans="1:9" ht="18" x14ac:dyDescent="0.25">
      <c r="A1" s="348" t="s">
        <v>450</v>
      </c>
      <c r="F1" s="5"/>
      <c r="G1" s="5"/>
      <c r="H1" s="5"/>
    </row>
    <row r="2" spans="1:9" x14ac:dyDescent="0.2">
      <c r="A2" s="5"/>
      <c r="B2" s="5"/>
      <c r="C2" s="5"/>
      <c r="D2" s="5"/>
      <c r="E2" s="5"/>
      <c r="F2" s="5"/>
      <c r="G2" s="5"/>
      <c r="H2" s="5"/>
    </row>
    <row r="3" spans="1:9" ht="15.75" x14ac:dyDescent="0.25">
      <c r="A3" s="349" t="s">
        <v>85</v>
      </c>
      <c r="B3" s="5"/>
      <c r="C3" s="5"/>
      <c r="D3" s="5"/>
      <c r="E3" s="5"/>
      <c r="F3" s="5"/>
      <c r="G3" s="5"/>
      <c r="H3" s="5"/>
    </row>
    <row r="4" spans="1:9" ht="15.75" x14ac:dyDescent="0.25">
      <c r="A4" s="349"/>
      <c r="B4" s="5"/>
      <c r="C4" s="5"/>
      <c r="D4" s="5"/>
      <c r="E4" s="5"/>
      <c r="F4" s="5"/>
      <c r="G4" s="5"/>
      <c r="H4" s="5"/>
    </row>
    <row r="5" spans="1:9" x14ac:dyDescent="0.2">
      <c r="A5" s="353" t="s">
        <v>0</v>
      </c>
      <c r="B5" s="353" t="s">
        <v>1</v>
      </c>
      <c r="C5" s="353" t="s">
        <v>108</v>
      </c>
      <c r="D5" s="353"/>
      <c r="E5" s="353"/>
      <c r="F5" s="353"/>
      <c r="G5" s="353"/>
      <c r="H5" s="353"/>
      <c r="I5" s="353"/>
    </row>
    <row r="6" spans="1:9" ht="15" x14ac:dyDescent="0.2">
      <c r="A6" s="34" t="s">
        <v>291</v>
      </c>
      <c r="B6" s="177">
        <v>0.04</v>
      </c>
      <c r="C6" s="30" t="s">
        <v>293</v>
      </c>
      <c r="D6" s="5"/>
      <c r="E6" s="5"/>
      <c r="F6" s="5"/>
      <c r="G6" s="6"/>
      <c r="H6" s="5"/>
    </row>
    <row r="7" spans="1:9" x14ac:dyDescent="0.2">
      <c r="A7" s="17" t="s">
        <v>183</v>
      </c>
      <c r="B7" s="164">
        <v>0.5</v>
      </c>
      <c r="C7" s="98" t="s">
        <v>182</v>
      </c>
      <c r="D7" s="32"/>
      <c r="E7" s="32"/>
      <c r="F7" s="32"/>
      <c r="G7" s="18"/>
      <c r="H7" s="5"/>
    </row>
    <row r="8" spans="1:9" x14ac:dyDescent="0.2">
      <c r="A8" s="4"/>
      <c r="B8" s="70"/>
      <c r="C8" s="5"/>
      <c r="D8" s="5"/>
      <c r="E8" s="5"/>
      <c r="F8" s="5"/>
      <c r="G8" s="5"/>
      <c r="H8" s="5"/>
    </row>
    <row r="9" spans="1:9" ht="15.75" x14ac:dyDescent="0.25">
      <c r="A9" s="349" t="s">
        <v>86</v>
      </c>
      <c r="B9" s="70"/>
      <c r="C9" s="5"/>
      <c r="D9" s="5"/>
      <c r="E9" s="5"/>
      <c r="F9" s="5"/>
      <c r="G9" s="5"/>
      <c r="H9" s="5"/>
    </row>
    <row r="10" spans="1:9" x14ac:dyDescent="0.2">
      <c r="A10" s="5"/>
      <c r="B10" s="70"/>
      <c r="C10" s="5"/>
      <c r="D10" s="5"/>
      <c r="E10" s="5"/>
      <c r="F10" s="5"/>
      <c r="G10" s="5"/>
      <c r="H10" s="5"/>
    </row>
    <row r="11" spans="1:9" x14ac:dyDescent="0.2">
      <c r="A11" s="353" t="s">
        <v>0</v>
      </c>
      <c r="B11" s="353" t="s">
        <v>1</v>
      </c>
      <c r="C11" s="353" t="s">
        <v>108</v>
      </c>
      <c r="D11" s="353"/>
      <c r="E11" s="353"/>
      <c r="F11" s="353"/>
      <c r="G11" s="353"/>
      <c r="H11" s="353"/>
      <c r="I11" s="353"/>
    </row>
    <row r="12" spans="1:9" x14ac:dyDescent="0.2">
      <c r="A12" s="34" t="s">
        <v>289</v>
      </c>
      <c r="B12" s="175">
        <f>D58</f>
        <v>31632406.5</v>
      </c>
      <c r="C12" s="359" t="s">
        <v>295</v>
      </c>
      <c r="D12" s="360"/>
      <c r="E12" s="360"/>
      <c r="F12" s="360"/>
      <c r="G12" s="360"/>
      <c r="H12" s="360"/>
      <c r="I12" s="361"/>
    </row>
    <row r="13" spans="1:9" x14ac:dyDescent="0.2">
      <c r="A13" s="34" t="s">
        <v>69</v>
      </c>
      <c r="B13" s="176">
        <f>B6</f>
        <v>0.04</v>
      </c>
      <c r="C13" s="359" t="s">
        <v>184</v>
      </c>
      <c r="D13" s="360"/>
      <c r="E13" s="360"/>
      <c r="F13" s="360"/>
      <c r="G13" s="360"/>
      <c r="H13" s="360"/>
      <c r="I13" s="361"/>
    </row>
    <row r="14" spans="1:9" x14ac:dyDescent="0.2">
      <c r="A14" s="34" t="s">
        <v>70</v>
      </c>
      <c r="B14" s="45">
        <f>B12*B13</f>
        <v>1265296.26</v>
      </c>
      <c r="C14" s="359"/>
      <c r="D14" s="360"/>
      <c r="E14" s="360"/>
      <c r="F14" s="360"/>
      <c r="G14" s="360"/>
      <c r="H14" s="360"/>
      <c r="I14" s="361"/>
    </row>
    <row r="15" spans="1:9" ht="15.75" customHeight="1" x14ac:dyDescent="0.2">
      <c r="A15" s="71" t="s">
        <v>290</v>
      </c>
      <c r="B15" s="290">
        <f>D88</f>
        <v>185056964.5</v>
      </c>
      <c r="C15" s="359" t="s">
        <v>296</v>
      </c>
      <c r="D15" s="360"/>
      <c r="E15" s="360"/>
      <c r="F15" s="360"/>
      <c r="G15" s="360"/>
      <c r="H15" s="360"/>
      <c r="I15" s="361"/>
    </row>
    <row r="16" spans="1:9" ht="15.75" customHeight="1" x14ac:dyDescent="0.2">
      <c r="A16" s="34" t="s">
        <v>289</v>
      </c>
      <c r="B16" s="120">
        <f>B12</f>
        <v>31632406.5</v>
      </c>
      <c r="C16" s="359" t="s">
        <v>295</v>
      </c>
      <c r="D16" s="360"/>
      <c r="E16" s="360"/>
      <c r="F16" s="360"/>
      <c r="G16" s="360"/>
      <c r="H16" s="360"/>
      <c r="I16" s="361"/>
    </row>
    <row r="17" spans="1:9" ht="15.75" customHeight="1" x14ac:dyDescent="0.2">
      <c r="A17" s="34" t="s">
        <v>292</v>
      </c>
      <c r="B17" s="63">
        <f>B15-B16</f>
        <v>153424558</v>
      </c>
      <c r="C17" s="359"/>
      <c r="D17" s="360"/>
      <c r="E17" s="360"/>
      <c r="F17" s="360"/>
      <c r="G17" s="360"/>
      <c r="H17" s="360"/>
      <c r="I17" s="361"/>
    </row>
    <row r="18" spans="1:9" x14ac:dyDescent="0.2">
      <c r="A18" s="34" t="s">
        <v>69</v>
      </c>
      <c r="B18" s="167">
        <f>B6*B7</f>
        <v>0.02</v>
      </c>
      <c r="C18" s="359" t="s">
        <v>184</v>
      </c>
      <c r="D18" s="360"/>
      <c r="E18" s="360"/>
      <c r="F18" s="360"/>
      <c r="G18" s="360"/>
      <c r="H18" s="360"/>
      <c r="I18" s="361"/>
    </row>
    <row r="19" spans="1:9" x14ac:dyDescent="0.2">
      <c r="A19" s="34" t="s">
        <v>70</v>
      </c>
      <c r="B19" s="120">
        <f>B17*B18</f>
        <v>3068491.16</v>
      </c>
      <c r="C19" s="359"/>
      <c r="D19" s="360"/>
      <c r="E19" s="360"/>
      <c r="F19" s="360"/>
      <c r="G19" s="360"/>
      <c r="H19" s="360"/>
      <c r="I19" s="361"/>
    </row>
    <row r="20" spans="1:9" ht="13.5" thickBot="1" x14ac:dyDescent="0.25">
      <c r="A20" s="165"/>
      <c r="B20" s="5"/>
      <c r="C20" s="359"/>
      <c r="D20" s="360"/>
      <c r="E20" s="360"/>
      <c r="F20" s="360"/>
      <c r="G20" s="360"/>
      <c r="H20" s="360"/>
      <c r="I20" s="361"/>
    </row>
    <row r="21" spans="1:9" ht="13.5" thickBot="1" x14ac:dyDescent="0.25">
      <c r="A21" s="166" t="s">
        <v>71</v>
      </c>
      <c r="B21" s="242">
        <f>B14+B19</f>
        <v>4333787.42</v>
      </c>
      <c r="C21" s="375"/>
      <c r="D21" s="375"/>
      <c r="E21" s="375"/>
      <c r="F21" s="375"/>
      <c r="G21" s="375"/>
      <c r="H21" s="375"/>
      <c r="I21" s="376"/>
    </row>
    <row r="22" spans="1:9" x14ac:dyDescent="0.2">
      <c r="A22" s="4"/>
      <c r="B22" s="5"/>
      <c r="C22" s="5"/>
      <c r="D22" s="5"/>
      <c r="E22" s="5"/>
      <c r="F22" s="5"/>
      <c r="G22" s="5"/>
      <c r="H22" s="5"/>
    </row>
    <row r="23" spans="1:9" x14ac:dyDescent="0.2">
      <c r="C23" s="5"/>
      <c r="D23" s="5"/>
      <c r="E23" s="5"/>
      <c r="F23" s="5"/>
      <c r="G23" s="5"/>
      <c r="H23" s="5"/>
    </row>
    <row r="24" spans="1:9" ht="15.75" x14ac:dyDescent="0.25">
      <c r="A24" s="292" t="s">
        <v>3</v>
      </c>
      <c r="B24" s="5"/>
      <c r="C24" s="5"/>
      <c r="D24" s="5"/>
      <c r="E24" s="5"/>
      <c r="F24" s="5"/>
      <c r="G24" s="168" t="s">
        <v>108</v>
      </c>
      <c r="H24" s="5"/>
    </row>
    <row r="25" spans="1:9" ht="51.75" customHeight="1" x14ac:dyDescent="0.2">
      <c r="A25" s="365" t="s">
        <v>294</v>
      </c>
      <c r="B25" s="366"/>
      <c r="E25" s="169" t="s">
        <v>76</v>
      </c>
      <c r="F25" s="283">
        <f>B12</f>
        <v>31632406.5</v>
      </c>
    </row>
    <row r="26" spans="1:9" ht="15" x14ac:dyDescent="0.2">
      <c r="A26" s="368"/>
      <c r="B26" s="369"/>
      <c r="E26" s="102" t="s">
        <v>75</v>
      </c>
      <c r="F26" s="284">
        <f>B15</f>
        <v>185056964.5</v>
      </c>
    </row>
    <row r="27" spans="1:9" ht="15" x14ac:dyDescent="0.2">
      <c r="A27" s="222"/>
      <c r="B27" s="222"/>
      <c r="E27" s="103"/>
      <c r="F27" s="285">
        <f>F26-F25</f>
        <v>153424558</v>
      </c>
    </row>
    <row r="31" spans="1:9" ht="14.25" customHeight="1" x14ac:dyDescent="0.25">
      <c r="A31" s="349" t="s">
        <v>451</v>
      </c>
    </row>
    <row r="32" spans="1:9" ht="14.25" customHeight="1" x14ac:dyDescent="0.2">
      <c r="A32" s="20"/>
    </row>
    <row r="33" spans="1:9" ht="25.5" x14ac:dyDescent="0.2">
      <c r="A33" s="353" t="s">
        <v>285</v>
      </c>
      <c r="B33" s="316" t="s">
        <v>286</v>
      </c>
      <c r="C33" s="316" t="s">
        <v>287</v>
      </c>
      <c r="D33" s="316" t="s">
        <v>288</v>
      </c>
    </row>
    <row r="34" spans="1:9" x14ac:dyDescent="0.2">
      <c r="A34" s="34" t="s">
        <v>261</v>
      </c>
      <c r="B34" s="34">
        <v>0</v>
      </c>
      <c r="C34" s="281">
        <f>10000</f>
        <v>10000</v>
      </c>
      <c r="D34" s="286">
        <f>B34*C34</f>
        <v>0</v>
      </c>
      <c r="E34" s="280"/>
      <c r="F34" s="280"/>
      <c r="G34" s="280"/>
      <c r="H34" s="280"/>
      <c r="I34" s="280"/>
    </row>
    <row r="35" spans="1:9" x14ac:dyDescent="0.2">
      <c r="A35" s="34" t="s">
        <v>262</v>
      </c>
      <c r="B35" s="34">
        <v>0</v>
      </c>
      <c r="C35" s="281">
        <f>(10000+14999)/2</f>
        <v>12499.5</v>
      </c>
      <c r="D35" s="286">
        <f t="shared" ref="D35:D57" si="0">B35*C35</f>
        <v>0</v>
      </c>
      <c r="E35" s="280"/>
      <c r="F35" s="280"/>
      <c r="G35" s="280"/>
      <c r="H35" s="280"/>
      <c r="I35" s="280"/>
    </row>
    <row r="36" spans="1:9" x14ac:dyDescent="0.2">
      <c r="A36" s="34" t="s">
        <v>263</v>
      </c>
      <c r="B36" s="34">
        <v>0</v>
      </c>
      <c r="C36" s="281">
        <f>(15000+19999)/2</f>
        <v>17499.5</v>
      </c>
      <c r="D36" s="286">
        <f t="shared" si="0"/>
        <v>0</v>
      </c>
      <c r="E36" s="280"/>
      <c r="F36" s="280"/>
      <c r="G36" s="280"/>
      <c r="H36" s="280"/>
      <c r="I36" s="280"/>
    </row>
    <row r="37" spans="1:9" x14ac:dyDescent="0.2">
      <c r="A37" s="34" t="s">
        <v>264</v>
      </c>
      <c r="B37" s="34">
        <v>0</v>
      </c>
      <c r="C37" s="281">
        <f>(20000+24999)/2</f>
        <v>22499.5</v>
      </c>
      <c r="D37" s="286">
        <f t="shared" si="0"/>
        <v>0</v>
      </c>
      <c r="E37" s="280"/>
      <c r="F37" s="280"/>
      <c r="G37" s="280"/>
      <c r="H37" s="280"/>
      <c r="I37" s="280"/>
    </row>
    <row r="38" spans="1:9" x14ac:dyDescent="0.2">
      <c r="A38" s="34" t="s">
        <v>265</v>
      </c>
      <c r="B38" s="34">
        <v>1</v>
      </c>
      <c r="C38" s="281">
        <f>(25000+29999)/2</f>
        <v>27499.5</v>
      </c>
      <c r="D38" s="286">
        <f t="shared" si="0"/>
        <v>27499.5</v>
      </c>
      <c r="E38" s="280"/>
      <c r="F38" s="280"/>
      <c r="G38" s="280"/>
      <c r="H38" s="280"/>
      <c r="I38" s="280"/>
    </row>
    <row r="39" spans="1:9" x14ac:dyDescent="0.2">
      <c r="A39" s="34" t="s">
        <v>266</v>
      </c>
      <c r="B39" s="34">
        <v>0</v>
      </c>
      <c r="C39" s="281">
        <f>(30000+34999)</f>
        <v>64999</v>
      </c>
      <c r="D39" s="286">
        <f t="shared" si="0"/>
        <v>0</v>
      </c>
      <c r="E39" s="280"/>
      <c r="F39" s="280"/>
      <c r="G39" s="280"/>
      <c r="H39" s="280"/>
      <c r="I39" s="280"/>
    </row>
    <row r="40" spans="1:9" x14ac:dyDescent="0.2">
      <c r="A40" s="34" t="s">
        <v>267</v>
      </c>
      <c r="B40" s="34">
        <v>0</v>
      </c>
      <c r="C40" s="281">
        <f>(35000+39999)/2</f>
        <v>37499.5</v>
      </c>
      <c r="D40" s="286">
        <f t="shared" si="0"/>
        <v>0</v>
      </c>
      <c r="E40" s="280"/>
      <c r="F40" s="280"/>
      <c r="G40" s="280"/>
      <c r="H40" s="280"/>
      <c r="I40" s="280"/>
    </row>
    <row r="41" spans="1:9" x14ac:dyDescent="0.2">
      <c r="A41" s="34" t="s">
        <v>268</v>
      </c>
      <c r="B41" s="34">
        <v>0</v>
      </c>
      <c r="C41" s="281">
        <f>(40000+49999)/2</f>
        <v>44999.5</v>
      </c>
      <c r="D41" s="286">
        <f t="shared" si="0"/>
        <v>0</v>
      </c>
      <c r="E41" s="280"/>
      <c r="F41" s="280"/>
      <c r="G41" s="280"/>
      <c r="H41" s="280"/>
      <c r="I41" s="280"/>
    </row>
    <row r="42" spans="1:9" x14ac:dyDescent="0.2">
      <c r="A42" s="34" t="s">
        <v>269</v>
      </c>
      <c r="B42" s="34">
        <v>0</v>
      </c>
      <c r="C42" s="281">
        <f>(50000+59999)/2</f>
        <v>54999.5</v>
      </c>
      <c r="D42" s="286">
        <f t="shared" si="0"/>
        <v>0</v>
      </c>
      <c r="E42" s="280"/>
      <c r="F42" s="280"/>
      <c r="G42" s="280"/>
      <c r="H42" s="280"/>
      <c r="I42" s="280"/>
    </row>
    <row r="43" spans="1:9" x14ac:dyDescent="0.2">
      <c r="A43" s="34" t="s">
        <v>270</v>
      </c>
      <c r="B43" s="34">
        <v>0</v>
      </c>
      <c r="C43" s="281">
        <f>(60000+69999)/2</f>
        <v>64999.5</v>
      </c>
      <c r="D43" s="286">
        <f t="shared" si="0"/>
        <v>0</v>
      </c>
      <c r="E43" s="280"/>
      <c r="F43" s="280"/>
      <c r="G43" s="280"/>
      <c r="H43" s="280"/>
      <c r="I43" s="280"/>
    </row>
    <row r="44" spans="1:9" x14ac:dyDescent="0.2">
      <c r="A44" s="34" t="s">
        <v>271</v>
      </c>
      <c r="B44" s="34">
        <v>13</v>
      </c>
      <c r="C44" s="281">
        <f>(70000+79999)/2</f>
        <v>74999.5</v>
      </c>
      <c r="D44" s="286">
        <f t="shared" si="0"/>
        <v>974993.5</v>
      </c>
      <c r="E44" s="280"/>
      <c r="F44" s="280"/>
      <c r="G44" s="280"/>
      <c r="H44" s="280"/>
      <c r="I44" s="280"/>
    </row>
    <row r="45" spans="1:9" x14ac:dyDescent="0.2">
      <c r="A45" s="34" t="s">
        <v>272</v>
      </c>
      <c r="B45" s="34">
        <v>1</v>
      </c>
      <c r="C45" s="281">
        <f>(80000+89999)/2</f>
        <v>84999.5</v>
      </c>
      <c r="D45" s="286">
        <f t="shared" si="0"/>
        <v>84999.5</v>
      </c>
      <c r="E45" s="280"/>
      <c r="F45" s="280"/>
      <c r="G45" s="280"/>
      <c r="H45" s="280"/>
      <c r="I45" s="280"/>
    </row>
    <row r="46" spans="1:9" x14ac:dyDescent="0.2">
      <c r="A46" s="34" t="s">
        <v>273</v>
      </c>
      <c r="B46" s="34">
        <v>11</v>
      </c>
      <c r="C46" s="281">
        <f>(90000+99999)/2</f>
        <v>94999.5</v>
      </c>
      <c r="D46" s="286">
        <f t="shared" si="0"/>
        <v>1044994.5</v>
      </c>
      <c r="E46" s="280"/>
      <c r="F46" s="280"/>
      <c r="G46" s="280"/>
      <c r="H46" s="280"/>
      <c r="I46" s="280"/>
    </row>
    <row r="47" spans="1:9" x14ac:dyDescent="0.2">
      <c r="A47" s="34" t="s">
        <v>274</v>
      </c>
      <c r="B47" s="34">
        <v>32</v>
      </c>
      <c r="C47" s="281">
        <f>(100000+124999)/2</f>
        <v>112499.5</v>
      </c>
      <c r="D47" s="286">
        <f t="shared" si="0"/>
        <v>3599984</v>
      </c>
      <c r="E47" s="280"/>
      <c r="F47" s="280"/>
      <c r="G47" s="280"/>
      <c r="H47" s="280"/>
      <c r="I47" s="280"/>
    </row>
    <row r="48" spans="1:9" x14ac:dyDescent="0.2">
      <c r="A48" s="34" t="s">
        <v>275</v>
      </c>
      <c r="B48" s="34">
        <v>19</v>
      </c>
      <c r="C48" s="281">
        <f>(125000+149999)/2</f>
        <v>137499.5</v>
      </c>
      <c r="D48" s="286">
        <f t="shared" si="0"/>
        <v>2612490.5</v>
      </c>
      <c r="E48" s="280"/>
      <c r="F48" s="280"/>
      <c r="G48" s="280"/>
      <c r="H48" s="280"/>
      <c r="I48" s="280"/>
    </row>
    <row r="49" spans="1:29" x14ac:dyDescent="0.2">
      <c r="A49" s="34" t="s">
        <v>276</v>
      </c>
      <c r="B49" s="34">
        <v>44</v>
      </c>
      <c r="C49" s="281">
        <f>(150000+174999)/2</f>
        <v>162499.5</v>
      </c>
      <c r="D49" s="286">
        <f t="shared" si="0"/>
        <v>7149978</v>
      </c>
      <c r="E49" s="280"/>
      <c r="F49" s="280"/>
      <c r="G49" s="280"/>
      <c r="H49" s="280"/>
      <c r="I49" s="280"/>
    </row>
    <row r="50" spans="1:29" x14ac:dyDescent="0.2">
      <c r="A50" s="34" t="s">
        <v>277</v>
      </c>
      <c r="B50" s="34">
        <v>13</v>
      </c>
      <c r="C50" s="281">
        <f>(175000+199999)/2</f>
        <v>187499.5</v>
      </c>
      <c r="D50" s="286">
        <f t="shared" si="0"/>
        <v>2437493.5</v>
      </c>
      <c r="E50" s="280"/>
      <c r="F50" s="280"/>
      <c r="G50" s="280"/>
      <c r="H50" s="280"/>
      <c r="I50" s="280"/>
    </row>
    <row r="51" spans="1:29" x14ac:dyDescent="0.2">
      <c r="A51" s="34" t="s">
        <v>278</v>
      </c>
      <c r="B51" s="34">
        <v>28</v>
      </c>
      <c r="C51" s="281">
        <f>(200000+249999)/2</f>
        <v>224999.5</v>
      </c>
      <c r="D51" s="286">
        <f t="shared" si="0"/>
        <v>6299986</v>
      </c>
      <c r="E51" s="280"/>
      <c r="F51" s="280"/>
      <c r="G51" s="280"/>
      <c r="H51" s="280"/>
      <c r="I51" s="280"/>
    </row>
    <row r="52" spans="1:29" x14ac:dyDescent="0.2">
      <c r="A52" s="34" t="s">
        <v>279</v>
      </c>
      <c r="B52" s="34">
        <v>18</v>
      </c>
      <c r="C52" s="281">
        <f>(250000+299999)/2</f>
        <v>274999.5</v>
      </c>
      <c r="D52" s="286">
        <f t="shared" si="0"/>
        <v>4949991</v>
      </c>
      <c r="E52" s="280"/>
      <c r="F52" s="280"/>
      <c r="G52" s="280"/>
      <c r="H52" s="280"/>
      <c r="I52" s="280"/>
    </row>
    <row r="53" spans="1:29" x14ac:dyDescent="0.2">
      <c r="A53" s="34" t="s">
        <v>280</v>
      </c>
      <c r="B53" s="34">
        <v>7</v>
      </c>
      <c r="C53" s="281">
        <f>(300000+399999)/2</f>
        <v>349999.5</v>
      </c>
      <c r="D53" s="286">
        <f t="shared" si="0"/>
        <v>2449996.5</v>
      </c>
      <c r="E53" s="280"/>
      <c r="F53" s="280"/>
      <c r="G53" s="280"/>
      <c r="H53" s="280"/>
      <c r="I53" s="280"/>
    </row>
    <row r="54" spans="1:29" x14ac:dyDescent="0.2">
      <c r="A54" s="34" t="s">
        <v>281</v>
      </c>
      <c r="B54" s="34">
        <v>0</v>
      </c>
      <c r="C54" s="281">
        <f>(400000+499999)/2</f>
        <v>449999.5</v>
      </c>
      <c r="D54" s="286">
        <f t="shared" si="0"/>
        <v>0</v>
      </c>
      <c r="E54" s="280"/>
      <c r="F54" s="280"/>
      <c r="G54" s="280"/>
      <c r="H54" s="280"/>
      <c r="I54" s="280"/>
    </row>
    <row r="55" spans="1:29" x14ac:dyDescent="0.2">
      <c r="A55" s="34" t="s">
        <v>282</v>
      </c>
      <c r="B55" s="34">
        <v>0</v>
      </c>
      <c r="C55" s="281">
        <f>(500000+749999)/2</f>
        <v>624999.5</v>
      </c>
      <c r="D55" s="286">
        <f t="shared" si="0"/>
        <v>0</v>
      </c>
      <c r="E55" s="280"/>
      <c r="F55" s="280"/>
      <c r="G55" s="280"/>
      <c r="H55" s="280"/>
      <c r="I55" s="280"/>
    </row>
    <row r="56" spans="1:29" x14ac:dyDescent="0.2">
      <c r="A56" s="34" t="s">
        <v>283</v>
      </c>
      <c r="B56" s="34">
        <v>0</v>
      </c>
      <c r="C56" s="281">
        <f>(750000+999999)/2</f>
        <v>874999.5</v>
      </c>
      <c r="D56" s="286">
        <f t="shared" si="0"/>
        <v>0</v>
      </c>
      <c r="E56" s="280"/>
      <c r="F56" s="280"/>
      <c r="G56" s="280"/>
      <c r="H56" s="280"/>
      <c r="I56" s="280"/>
    </row>
    <row r="57" spans="1:29" x14ac:dyDescent="0.2">
      <c r="A57" s="34" t="s">
        <v>284</v>
      </c>
      <c r="B57" s="34">
        <v>0</v>
      </c>
      <c r="C57" s="281">
        <v>1000000</v>
      </c>
      <c r="D57" s="286">
        <f t="shared" si="0"/>
        <v>0</v>
      </c>
      <c r="E57" s="280"/>
      <c r="F57" s="280"/>
      <c r="G57" s="280"/>
      <c r="H57" s="280"/>
      <c r="I57" s="280"/>
    </row>
    <row r="58" spans="1:29" x14ac:dyDescent="0.2">
      <c r="A58" s="287" t="s">
        <v>2</v>
      </c>
      <c r="B58" s="288">
        <f>SUM(B34:B57)</f>
        <v>187</v>
      </c>
      <c r="C58" s="288"/>
      <c r="D58" s="289">
        <f t="shared" ref="D58" si="1">SUM(D34:D57)</f>
        <v>31632406.5</v>
      </c>
    </row>
    <row r="61" spans="1:29" ht="18.75" x14ac:dyDescent="0.25">
      <c r="A61" s="349" t="s">
        <v>452</v>
      </c>
    </row>
    <row r="62" spans="1:29" x14ac:dyDescent="0.2">
      <c r="A62" s="20"/>
    </row>
    <row r="63" spans="1:29" ht="25.5" x14ac:dyDescent="0.2">
      <c r="A63" s="353" t="s">
        <v>285</v>
      </c>
      <c r="B63" s="316" t="s">
        <v>286</v>
      </c>
      <c r="C63" s="316" t="s">
        <v>287</v>
      </c>
      <c r="D63" s="316" t="s">
        <v>288</v>
      </c>
    </row>
    <row r="64" spans="1:29" x14ac:dyDescent="0.2">
      <c r="A64" s="34" t="s">
        <v>261</v>
      </c>
      <c r="B64" s="34">
        <v>0</v>
      </c>
      <c r="C64" s="281">
        <f>10000</f>
        <v>10000</v>
      </c>
      <c r="D64" s="286">
        <f>B64*C64</f>
        <v>0</v>
      </c>
      <c r="E64" s="280"/>
      <c r="F64" s="280"/>
      <c r="H64" s="280"/>
      <c r="I64" s="280"/>
      <c r="J64" s="280"/>
      <c r="K64" s="280"/>
      <c r="L64" s="280"/>
      <c r="M64" s="280"/>
      <c r="N64" s="280"/>
      <c r="O64" s="370">
        <v>0</v>
      </c>
      <c r="P64" s="371"/>
      <c r="Q64" s="371"/>
      <c r="R64" s="371"/>
      <c r="S64" s="371"/>
      <c r="T64" s="371"/>
      <c r="U64" s="371"/>
      <c r="V64" s="371"/>
      <c r="W64" s="372">
        <v>0</v>
      </c>
      <c r="X64" s="371"/>
      <c r="Y64" s="371"/>
      <c r="Z64" s="371"/>
      <c r="AA64" s="371"/>
      <c r="AB64" s="371"/>
      <c r="AC64" s="371"/>
    </row>
    <row r="65" spans="1:29" x14ac:dyDescent="0.2">
      <c r="A65" s="34" t="s">
        <v>262</v>
      </c>
      <c r="B65" s="34">
        <v>1</v>
      </c>
      <c r="C65" s="281">
        <f>(10000+14999)/2</f>
        <v>12499.5</v>
      </c>
      <c r="D65" s="286">
        <f t="shared" ref="D65:D87" si="2">B65*C65</f>
        <v>12499.5</v>
      </c>
      <c r="E65" s="280"/>
      <c r="F65" s="280"/>
      <c r="H65" s="280"/>
      <c r="I65" s="280"/>
      <c r="J65" s="280"/>
      <c r="K65" s="280"/>
      <c r="L65" s="280"/>
      <c r="M65" s="280"/>
      <c r="N65" s="280"/>
      <c r="O65" s="373">
        <v>0.1</v>
      </c>
      <c r="P65" s="371"/>
      <c r="Q65" s="371"/>
      <c r="R65" s="371"/>
      <c r="S65" s="371"/>
      <c r="T65" s="371"/>
      <c r="U65" s="371"/>
      <c r="V65" s="371"/>
      <c r="W65" s="374">
        <v>11</v>
      </c>
      <c r="X65" s="371"/>
      <c r="Y65" s="371"/>
      <c r="Z65" s="371"/>
      <c r="AA65" s="371"/>
      <c r="AB65" s="371"/>
      <c r="AC65" s="371"/>
    </row>
    <row r="66" spans="1:29" x14ac:dyDescent="0.2">
      <c r="A66" s="34" t="s">
        <v>263</v>
      </c>
      <c r="B66" s="34">
        <v>1</v>
      </c>
      <c r="C66" s="281">
        <f>(15000+19999)/2</f>
        <v>17499.5</v>
      </c>
      <c r="D66" s="286">
        <f t="shared" si="2"/>
        <v>17499.5</v>
      </c>
      <c r="E66" s="280"/>
      <c r="F66" s="280"/>
      <c r="H66" s="280"/>
      <c r="I66" s="280"/>
      <c r="J66" s="280"/>
      <c r="K66" s="280"/>
      <c r="L66" s="280"/>
      <c r="M66" s="280"/>
      <c r="N66" s="280"/>
      <c r="O66" s="370">
        <v>0.1</v>
      </c>
      <c r="P66" s="371"/>
      <c r="Q66" s="371"/>
      <c r="R66" s="371"/>
      <c r="S66" s="371"/>
      <c r="T66" s="371"/>
      <c r="U66" s="371"/>
      <c r="V66" s="371"/>
      <c r="W66" s="372">
        <v>23</v>
      </c>
      <c r="X66" s="371"/>
      <c r="Y66" s="371"/>
      <c r="Z66" s="371"/>
      <c r="AA66" s="371"/>
      <c r="AB66" s="371"/>
      <c r="AC66" s="371"/>
    </row>
    <row r="67" spans="1:29" x14ac:dyDescent="0.2">
      <c r="A67" s="34" t="s">
        <v>264</v>
      </c>
      <c r="B67" s="34">
        <v>0</v>
      </c>
      <c r="C67" s="281">
        <f>(20000+24999)/2</f>
        <v>22499.5</v>
      </c>
      <c r="D67" s="286">
        <f t="shared" si="2"/>
        <v>0</v>
      </c>
      <c r="E67" s="280"/>
      <c r="F67" s="280"/>
      <c r="H67" s="280"/>
      <c r="I67" s="280"/>
      <c r="J67" s="280"/>
      <c r="K67" s="280"/>
      <c r="L67" s="280"/>
      <c r="M67" s="280"/>
      <c r="N67" s="280"/>
      <c r="O67" s="373">
        <v>0</v>
      </c>
      <c r="P67" s="371"/>
      <c r="Q67" s="371"/>
      <c r="R67" s="371"/>
      <c r="S67" s="371"/>
      <c r="T67" s="371"/>
      <c r="U67" s="371"/>
      <c r="V67" s="371"/>
      <c r="W67" s="374">
        <v>0</v>
      </c>
      <c r="X67" s="371"/>
      <c r="Y67" s="371"/>
      <c r="Z67" s="371"/>
      <c r="AA67" s="371"/>
      <c r="AB67" s="371"/>
      <c r="AC67" s="371"/>
    </row>
    <row r="68" spans="1:29" x14ac:dyDescent="0.2">
      <c r="A68" s="34" t="s">
        <v>265</v>
      </c>
      <c r="B68" s="34">
        <v>10</v>
      </c>
      <c r="C68" s="281">
        <f>(25000+29999)/2</f>
        <v>27499.5</v>
      </c>
      <c r="D68" s="286">
        <f t="shared" si="2"/>
        <v>274995</v>
      </c>
      <c r="E68" s="280"/>
      <c r="F68" s="280"/>
      <c r="H68" s="280"/>
      <c r="I68" s="280"/>
      <c r="J68" s="280"/>
      <c r="K68" s="280"/>
      <c r="L68" s="280"/>
      <c r="M68" s="280"/>
      <c r="N68" s="280"/>
      <c r="O68" s="370">
        <v>0.9</v>
      </c>
      <c r="P68" s="371"/>
      <c r="Q68" s="371"/>
      <c r="R68" s="371"/>
      <c r="S68" s="371"/>
      <c r="T68" s="371"/>
      <c r="U68" s="371"/>
      <c r="V68" s="371"/>
      <c r="W68" s="372">
        <v>16</v>
      </c>
      <c r="X68" s="371"/>
      <c r="Y68" s="371"/>
      <c r="Z68" s="371"/>
      <c r="AA68" s="371"/>
      <c r="AB68" s="371"/>
      <c r="AC68" s="371"/>
    </row>
    <row r="69" spans="1:29" x14ac:dyDescent="0.2">
      <c r="A69" s="34" t="s">
        <v>266</v>
      </c>
      <c r="B69" s="34">
        <v>0</v>
      </c>
      <c r="C69" s="281">
        <f>(30000+34999)</f>
        <v>64999</v>
      </c>
      <c r="D69" s="286">
        <f t="shared" si="2"/>
        <v>0</v>
      </c>
      <c r="E69" s="280"/>
      <c r="F69" s="280"/>
      <c r="H69" s="280"/>
      <c r="I69" s="280"/>
      <c r="J69" s="280"/>
      <c r="K69" s="280"/>
      <c r="L69" s="280"/>
      <c r="M69" s="280"/>
      <c r="N69" s="280"/>
      <c r="O69" s="373">
        <v>0</v>
      </c>
      <c r="P69" s="371"/>
      <c r="Q69" s="371"/>
      <c r="R69" s="371"/>
      <c r="S69" s="371"/>
      <c r="T69" s="371"/>
      <c r="U69" s="371"/>
      <c r="V69" s="371"/>
      <c r="W69" s="374">
        <v>0</v>
      </c>
      <c r="X69" s="371"/>
      <c r="Y69" s="371"/>
      <c r="Z69" s="371"/>
      <c r="AA69" s="371"/>
      <c r="AB69" s="371"/>
      <c r="AC69" s="371"/>
    </row>
    <row r="70" spans="1:29" x14ac:dyDescent="0.2">
      <c r="A70" s="34" t="s">
        <v>267</v>
      </c>
      <c r="B70" s="34">
        <v>0</v>
      </c>
      <c r="C70" s="281">
        <f>(35000+39999)/2</f>
        <v>37499.5</v>
      </c>
      <c r="D70" s="286">
        <f t="shared" si="2"/>
        <v>0</v>
      </c>
      <c r="E70" s="280"/>
      <c r="F70" s="280"/>
      <c r="H70" s="280"/>
      <c r="I70" s="280"/>
      <c r="J70" s="280"/>
      <c r="K70" s="280"/>
      <c r="L70" s="280"/>
      <c r="M70" s="280"/>
      <c r="N70" s="280"/>
      <c r="O70" s="370">
        <v>0</v>
      </c>
      <c r="P70" s="371"/>
      <c r="Q70" s="371"/>
      <c r="R70" s="371"/>
      <c r="S70" s="371"/>
      <c r="T70" s="371"/>
      <c r="U70" s="371"/>
      <c r="V70" s="371"/>
      <c r="W70" s="372">
        <v>0</v>
      </c>
      <c r="X70" s="371"/>
      <c r="Y70" s="371"/>
      <c r="Z70" s="371"/>
      <c r="AA70" s="371"/>
      <c r="AB70" s="371"/>
      <c r="AC70" s="371"/>
    </row>
    <row r="71" spans="1:29" x14ac:dyDescent="0.2">
      <c r="A71" s="34" t="s">
        <v>268</v>
      </c>
      <c r="B71" s="34">
        <v>0</v>
      </c>
      <c r="C71" s="281">
        <f>(40000+49999)/2</f>
        <v>44999.5</v>
      </c>
      <c r="D71" s="286">
        <f t="shared" si="2"/>
        <v>0</v>
      </c>
      <c r="E71" s="280"/>
      <c r="F71" s="280"/>
      <c r="H71" s="280"/>
      <c r="I71" s="280"/>
      <c r="J71" s="280"/>
      <c r="K71" s="280"/>
      <c r="L71" s="280"/>
      <c r="M71" s="280"/>
      <c r="N71" s="280"/>
      <c r="O71" s="373">
        <v>0</v>
      </c>
      <c r="P71" s="371"/>
      <c r="Q71" s="371"/>
      <c r="R71" s="371"/>
      <c r="S71" s="371"/>
      <c r="T71" s="371"/>
      <c r="U71" s="371"/>
      <c r="V71" s="371"/>
      <c r="W71" s="374">
        <v>0</v>
      </c>
      <c r="X71" s="371"/>
      <c r="Y71" s="371"/>
      <c r="Z71" s="371"/>
      <c r="AA71" s="371"/>
      <c r="AB71" s="371"/>
      <c r="AC71" s="371"/>
    </row>
    <row r="72" spans="1:29" x14ac:dyDescent="0.2">
      <c r="A72" s="34" t="s">
        <v>269</v>
      </c>
      <c r="B72" s="34">
        <v>0</v>
      </c>
      <c r="C72" s="281">
        <f>(50000+59999)/2</f>
        <v>54999.5</v>
      </c>
      <c r="D72" s="286">
        <f t="shared" si="2"/>
        <v>0</v>
      </c>
      <c r="E72" s="280"/>
      <c r="F72" s="280"/>
      <c r="H72" s="280"/>
      <c r="I72" s="280"/>
      <c r="J72" s="280"/>
      <c r="K72" s="280"/>
      <c r="L72" s="280"/>
      <c r="M72" s="280"/>
      <c r="N72" s="280"/>
      <c r="O72" s="370">
        <v>0</v>
      </c>
      <c r="P72" s="371"/>
      <c r="Q72" s="371"/>
      <c r="R72" s="371"/>
      <c r="S72" s="371"/>
      <c r="T72" s="371"/>
      <c r="U72" s="371"/>
      <c r="V72" s="371"/>
      <c r="W72" s="372">
        <v>0</v>
      </c>
      <c r="X72" s="371"/>
      <c r="Y72" s="371"/>
      <c r="Z72" s="371"/>
      <c r="AA72" s="371"/>
      <c r="AB72" s="371"/>
      <c r="AC72" s="371"/>
    </row>
    <row r="73" spans="1:29" x14ac:dyDescent="0.2">
      <c r="A73" s="34" t="s">
        <v>270</v>
      </c>
      <c r="B73" s="34">
        <v>11</v>
      </c>
      <c r="C73" s="281">
        <f>(60000+69999)/2</f>
        <v>64999.5</v>
      </c>
      <c r="D73" s="286">
        <f t="shared" si="2"/>
        <v>714994.5</v>
      </c>
      <c r="E73" s="280"/>
      <c r="F73" s="280"/>
      <c r="H73" s="280"/>
      <c r="I73" s="280"/>
      <c r="J73" s="280"/>
      <c r="K73" s="280"/>
      <c r="L73" s="280"/>
      <c r="M73" s="280"/>
      <c r="N73" s="280"/>
      <c r="O73" s="373">
        <v>1</v>
      </c>
      <c r="P73" s="371"/>
      <c r="Q73" s="371"/>
      <c r="R73" s="371"/>
      <c r="S73" s="371"/>
      <c r="T73" s="371"/>
      <c r="U73" s="371"/>
      <c r="V73" s="371"/>
      <c r="W73" s="374">
        <v>10</v>
      </c>
      <c r="X73" s="371"/>
      <c r="Y73" s="371"/>
      <c r="Z73" s="371"/>
      <c r="AA73" s="371"/>
      <c r="AB73" s="371"/>
      <c r="AC73" s="371"/>
    </row>
    <row r="74" spans="1:29" x14ac:dyDescent="0.2">
      <c r="A74" s="34" t="s">
        <v>271</v>
      </c>
      <c r="B74" s="34">
        <v>81</v>
      </c>
      <c r="C74" s="281">
        <f>(70000+79999)/2</f>
        <v>74999.5</v>
      </c>
      <c r="D74" s="286">
        <f t="shared" si="2"/>
        <v>6074959.5</v>
      </c>
      <c r="E74" s="280"/>
      <c r="F74" s="280"/>
      <c r="H74" s="280"/>
      <c r="I74" s="280"/>
      <c r="J74" s="280"/>
      <c r="K74" s="280"/>
      <c r="L74" s="280"/>
      <c r="M74" s="280"/>
      <c r="N74" s="280"/>
      <c r="O74" s="370">
        <v>7.6</v>
      </c>
      <c r="P74" s="371"/>
      <c r="Q74" s="371"/>
      <c r="R74" s="371"/>
      <c r="S74" s="371"/>
      <c r="T74" s="371"/>
      <c r="U74" s="371"/>
      <c r="V74" s="371"/>
      <c r="W74" s="372">
        <v>29</v>
      </c>
      <c r="X74" s="371"/>
      <c r="Y74" s="371"/>
      <c r="Z74" s="371"/>
      <c r="AA74" s="371"/>
      <c r="AB74" s="371"/>
      <c r="AC74" s="371"/>
    </row>
    <row r="75" spans="1:29" x14ac:dyDescent="0.2">
      <c r="A75" s="34" t="s">
        <v>272</v>
      </c>
      <c r="B75" s="34">
        <v>10</v>
      </c>
      <c r="C75" s="281">
        <f>(80000+89999)/2</f>
        <v>84999.5</v>
      </c>
      <c r="D75" s="286">
        <f t="shared" si="2"/>
        <v>849995</v>
      </c>
      <c r="E75" s="280"/>
      <c r="F75" s="280"/>
      <c r="H75" s="280"/>
      <c r="I75" s="280"/>
      <c r="J75" s="280"/>
      <c r="K75" s="280"/>
      <c r="L75" s="280"/>
      <c r="M75" s="280"/>
      <c r="N75" s="280"/>
      <c r="O75" s="373">
        <v>0.9</v>
      </c>
      <c r="P75" s="371"/>
      <c r="Q75" s="371"/>
      <c r="R75" s="371"/>
      <c r="S75" s="371"/>
      <c r="T75" s="371"/>
      <c r="U75" s="371"/>
      <c r="V75" s="371"/>
      <c r="W75" s="374">
        <v>13</v>
      </c>
      <c r="X75" s="371"/>
      <c r="Y75" s="371"/>
      <c r="Z75" s="371"/>
      <c r="AA75" s="371"/>
      <c r="AB75" s="371"/>
      <c r="AC75" s="371"/>
    </row>
    <row r="76" spans="1:29" x14ac:dyDescent="0.2">
      <c r="A76" s="34" t="s">
        <v>273</v>
      </c>
      <c r="B76" s="34">
        <v>50</v>
      </c>
      <c r="C76" s="281">
        <f>(90000+99999)/2</f>
        <v>94999.5</v>
      </c>
      <c r="D76" s="286">
        <f t="shared" si="2"/>
        <v>4749975</v>
      </c>
      <c r="E76" s="280"/>
      <c r="F76" s="280"/>
      <c r="H76" s="280"/>
      <c r="I76" s="280"/>
      <c r="J76" s="280"/>
      <c r="K76" s="280"/>
      <c r="L76" s="280"/>
      <c r="M76" s="280"/>
      <c r="N76" s="280"/>
      <c r="O76" s="370">
        <v>4.7</v>
      </c>
      <c r="P76" s="371"/>
      <c r="Q76" s="371"/>
      <c r="R76" s="371"/>
      <c r="S76" s="371"/>
      <c r="T76" s="371"/>
      <c r="U76" s="371"/>
      <c r="V76" s="371"/>
      <c r="W76" s="372">
        <v>28</v>
      </c>
      <c r="X76" s="371"/>
      <c r="Y76" s="371"/>
      <c r="Z76" s="371"/>
      <c r="AA76" s="371"/>
      <c r="AB76" s="371"/>
      <c r="AC76" s="371"/>
    </row>
    <row r="77" spans="1:29" x14ac:dyDescent="0.2">
      <c r="A77" s="34" t="s">
        <v>274</v>
      </c>
      <c r="B77" s="34">
        <v>135</v>
      </c>
      <c r="C77" s="281">
        <f>(100000+124999)/2</f>
        <v>112499.5</v>
      </c>
      <c r="D77" s="286">
        <f t="shared" si="2"/>
        <v>15187432.5</v>
      </c>
      <c r="E77" s="280"/>
      <c r="F77" s="280"/>
      <c r="H77" s="280"/>
      <c r="I77" s="280"/>
      <c r="J77" s="280"/>
      <c r="K77" s="280"/>
      <c r="L77" s="280"/>
      <c r="M77" s="280"/>
      <c r="N77" s="280"/>
      <c r="O77" s="373">
        <v>12.6</v>
      </c>
      <c r="P77" s="371"/>
      <c r="Q77" s="371"/>
      <c r="R77" s="371"/>
      <c r="S77" s="371"/>
      <c r="T77" s="371"/>
      <c r="U77" s="371"/>
      <c r="V77" s="371"/>
      <c r="W77" s="374">
        <v>36</v>
      </c>
      <c r="X77" s="371"/>
      <c r="Y77" s="371"/>
      <c r="Z77" s="371"/>
      <c r="AA77" s="371"/>
      <c r="AB77" s="371"/>
      <c r="AC77" s="371"/>
    </row>
    <row r="78" spans="1:29" x14ac:dyDescent="0.2">
      <c r="A78" s="34" t="s">
        <v>275</v>
      </c>
      <c r="B78" s="34">
        <v>193</v>
      </c>
      <c r="C78" s="281">
        <f>(125000+149999)/2</f>
        <v>137499.5</v>
      </c>
      <c r="D78" s="286">
        <f t="shared" si="2"/>
        <v>26537403.5</v>
      </c>
      <c r="E78" s="280"/>
      <c r="F78" s="280"/>
      <c r="H78" s="280"/>
      <c r="I78" s="280"/>
      <c r="J78" s="280"/>
      <c r="K78" s="280"/>
      <c r="L78" s="280"/>
      <c r="M78" s="280"/>
      <c r="N78" s="280"/>
      <c r="O78" s="370">
        <v>18</v>
      </c>
      <c r="P78" s="371"/>
      <c r="Q78" s="371"/>
      <c r="R78" s="371"/>
      <c r="S78" s="371"/>
      <c r="T78" s="371"/>
      <c r="U78" s="371"/>
      <c r="V78" s="371"/>
      <c r="W78" s="372">
        <v>50</v>
      </c>
      <c r="X78" s="371"/>
      <c r="Y78" s="371"/>
      <c r="Z78" s="371"/>
      <c r="AA78" s="371"/>
      <c r="AB78" s="371"/>
      <c r="AC78" s="371"/>
    </row>
    <row r="79" spans="1:29" x14ac:dyDescent="0.2">
      <c r="A79" s="34" t="s">
        <v>276</v>
      </c>
      <c r="B79" s="34">
        <v>235</v>
      </c>
      <c r="C79" s="281">
        <f>(150000+174999)/2</f>
        <v>162499.5</v>
      </c>
      <c r="D79" s="286">
        <f t="shared" si="2"/>
        <v>38187382.5</v>
      </c>
      <c r="E79" s="280"/>
      <c r="F79" s="280"/>
      <c r="H79" s="280"/>
      <c r="I79" s="280"/>
      <c r="J79" s="280"/>
      <c r="K79" s="280"/>
      <c r="L79" s="280"/>
      <c r="M79" s="280"/>
      <c r="N79" s="280"/>
      <c r="O79" s="373">
        <v>22</v>
      </c>
      <c r="P79" s="371"/>
      <c r="Q79" s="371"/>
      <c r="R79" s="371"/>
      <c r="S79" s="371"/>
      <c r="T79" s="371"/>
      <c r="U79" s="371"/>
      <c r="V79" s="371"/>
      <c r="W79" s="374">
        <v>61</v>
      </c>
      <c r="X79" s="371"/>
      <c r="Y79" s="371"/>
      <c r="Z79" s="371"/>
      <c r="AA79" s="371"/>
      <c r="AB79" s="371"/>
      <c r="AC79" s="371"/>
    </row>
    <row r="80" spans="1:29" x14ac:dyDescent="0.2">
      <c r="A80" s="34" t="s">
        <v>277</v>
      </c>
      <c r="B80" s="34">
        <v>66</v>
      </c>
      <c r="C80" s="281">
        <f>(175000+199999)/2</f>
        <v>187499.5</v>
      </c>
      <c r="D80" s="286">
        <f t="shared" si="2"/>
        <v>12374967</v>
      </c>
      <c r="E80" s="280"/>
      <c r="F80" s="280"/>
      <c r="H80" s="280"/>
      <c r="I80" s="280"/>
      <c r="J80" s="280"/>
      <c r="K80" s="280"/>
      <c r="L80" s="280"/>
      <c r="M80" s="280"/>
      <c r="N80" s="280"/>
      <c r="O80" s="370">
        <v>6.2</v>
      </c>
      <c r="P80" s="371"/>
      <c r="Q80" s="371"/>
      <c r="R80" s="371"/>
      <c r="S80" s="371"/>
      <c r="T80" s="371"/>
      <c r="U80" s="371"/>
      <c r="V80" s="371"/>
      <c r="W80" s="372">
        <v>30</v>
      </c>
      <c r="X80" s="371"/>
      <c r="Y80" s="371"/>
      <c r="Z80" s="371"/>
      <c r="AA80" s="371"/>
      <c r="AB80" s="371"/>
      <c r="AC80" s="371"/>
    </row>
    <row r="81" spans="1:29" x14ac:dyDescent="0.2">
      <c r="A81" s="34" t="s">
        <v>278</v>
      </c>
      <c r="B81" s="34">
        <v>135</v>
      </c>
      <c r="C81" s="281">
        <f>(200000+249999)/2</f>
        <v>224999.5</v>
      </c>
      <c r="D81" s="286">
        <f t="shared" si="2"/>
        <v>30374932.5</v>
      </c>
      <c r="E81" s="280"/>
      <c r="F81" s="280"/>
      <c r="H81" s="280"/>
      <c r="I81" s="280"/>
      <c r="J81" s="280"/>
      <c r="K81" s="280"/>
      <c r="L81" s="280"/>
      <c r="M81" s="280"/>
      <c r="N81" s="280"/>
      <c r="O81" s="373">
        <v>12.6</v>
      </c>
      <c r="P81" s="371"/>
      <c r="Q81" s="371"/>
      <c r="R81" s="371"/>
      <c r="S81" s="371"/>
      <c r="T81" s="371"/>
      <c r="U81" s="371"/>
      <c r="V81" s="371"/>
      <c r="W81" s="374">
        <v>37</v>
      </c>
      <c r="X81" s="371"/>
      <c r="Y81" s="371"/>
      <c r="Z81" s="371"/>
      <c r="AA81" s="371"/>
      <c r="AB81" s="371"/>
      <c r="AC81" s="371"/>
    </row>
    <row r="82" spans="1:29" x14ac:dyDescent="0.2">
      <c r="A82" s="34" t="s">
        <v>279</v>
      </c>
      <c r="B82" s="34">
        <v>54</v>
      </c>
      <c r="C82" s="281">
        <f>(250000+299999)/2</f>
        <v>274999.5</v>
      </c>
      <c r="D82" s="286">
        <f t="shared" si="2"/>
        <v>14849973</v>
      </c>
      <c r="E82" s="280"/>
      <c r="F82" s="280"/>
      <c r="H82" s="280"/>
      <c r="I82" s="280"/>
      <c r="J82" s="280"/>
      <c r="K82" s="280"/>
      <c r="L82" s="280"/>
      <c r="M82" s="280"/>
      <c r="N82" s="280"/>
      <c r="O82" s="370">
        <v>5</v>
      </c>
      <c r="P82" s="371"/>
      <c r="Q82" s="371"/>
      <c r="R82" s="371"/>
      <c r="S82" s="371"/>
      <c r="T82" s="371"/>
      <c r="U82" s="371"/>
      <c r="V82" s="371"/>
      <c r="W82" s="372">
        <v>27</v>
      </c>
      <c r="X82" s="371"/>
      <c r="Y82" s="371"/>
      <c r="Z82" s="371"/>
      <c r="AA82" s="371"/>
      <c r="AB82" s="371"/>
      <c r="AC82" s="371"/>
    </row>
    <row r="83" spans="1:29" x14ac:dyDescent="0.2">
      <c r="A83" s="34" t="s">
        <v>280</v>
      </c>
      <c r="B83" s="34">
        <v>52</v>
      </c>
      <c r="C83" s="281">
        <f>(300000+399999)/2</f>
        <v>349999.5</v>
      </c>
      <c r="D83" s="286">
        <f t="shared" si="2"/>
        <v>18199974</v>
      </c>
      <c r="E83" s="280"/>
      <c r="F83" s="280"/>
      <c r="H83" s="280"/>
      <c r="I83" s="280"/>
      <c r="J83" s="280"/>
      <c r="K83" s="280"/>
      <c r="L83" s="280"/>
      <c r="M83" s="280"/>
      <c r="N83" s="280"/>
      <c r="O83" s="373">
        <v>4.9000000000000004</v>
      </c>
      <c r="P83" s="371"/>
      <c r="Q83" s="371"/>
      <c r="R83" s="371"/>
      <c r="S83" s="371"/>
      <c r="T83" s="371"/>
      <c r="U83" s="371"/>
      <c r="V83" s="371"/>
      <c r="W83" s="374">
        <v>27</v>
      </c>
      <c r="X83" s="371"/>
      <c r="Y83" s="371"/>
      <c r="Z83" s="371"/>
      <c r="AA83" s="371"/>
      <c r="AB83" s="371"/>
      <c r="AC83" s="371"/>
    </row>
    <row r="84" spans="1:29" x14ac:dyDescent="0.2">
      <c r="A84" s="34" t="s">
        <v>281</v>
      </c>
      <c r="B84" s="34">
        <v>37</v>
      </c>
      <c r="C84" s="281">
        <f>(400000+499999)/2</f>
        <v>449999.5</v>
      </c>
      <c r="D84" s="286">
        <f t="shared" si="2"/>
        <v>16649981.5</v>
      </c>
      <c r="E84" s="280"/>
      <c r="F84" s="280"/>
      <c r="H84" s="280"/>
      <c r="I84" s="280"/>
      <c r="J84" s="280"/>
      <c r="K84" s="280"/>
      <c r="L84" s="280"/>
      <c r="M84" s="280"/>
      <c r="N84" s="280"/>
      <c r="O84" s="370">
        <v>3.5</v>
      </c>
      <c r="P84" s="371"/>
      <c r="Q84" s="371"/>
      <c r="R84" s="371"/>
      <c r="S84" s="371"/>
      <c r="T84" s="371"/>
      <c r="U84" s="371"/>
      <c r="V84" s="371"/>
      <c r="W84" s="372">
        <v>37</v>
      </c>
      <c r="X84" s="371"/>
      <c r="Y84" s="371"/>
      <c r="Z84" s="371"/>
      <c r="AA84" s="371"/>
      <c r="AB84" s="371"/>
      <c r="AC84" s="371"/>
    </row>
    <row r="85" spans="1:29" x14ac:dyDescent="0.2">
      <c r="A85" s="34" t="s">
        <v>282</v>
      </c>
      <c r="B85" s="34">
        <v>0</v>
      </c>
      <c r="C85" s="281">
        <f>(500000+749999)/2</f>
        <v>624999.5</v>
      </c>
      <c r="D85" s="286">
        <f t="shared" si="2"/>
        <v>0</v>
      </c>
      <c r="E85" s="280"/>
      <c r="F85" s="280"/>
      <c r="H85" s="280"/>
      <c r="I85" s="280"/>
      <c r="J85" s="280"/>
      <c r="K85" s="280"/>
      <c r="L85" s="280"/>
      <c r="M85" s="280"/>
      <c r="N85" s="280"/>
      <c r="O85" s="373">
        <v>0</v>
      </c>
      <c r="P85" s="371"/>
      <c r="Q85" s="371"/>
      <c r="R85" s="371"/>
      <c r="S85" s="371"/>
      <c r="T85" s="371"/>
      <c r="U85" s="371"/>
      <c r="V85" s="371"/>
      <c r="W85" s="374">
        <v>0</v>
      </c>
      <c r="X85" s="371"/>
      <c r="Y85" s="371"/>
      <c r="Z85" s="371"/>
      <c r="AA85" s="371"/>
      <c r="AB85" s="371"/>
      <c r="AC85" s="371"/>
    </row>
    <row r="86" spans="1:29" x14ac:dyDescent="0.2">
      <c r="A86" s="34" t="s">
        <v>283</v>
      </c>
      <c r="B86" s="34">
        <v>0</v>
      </c>
      <c r="C86" s="281">
        <f>(750000+999999)/2</f>
        <v>874999.5</v>
      </c>
      <c r="D86" s="286">
        <f t="shared" si="2"/>
        <v>0</v>
      </c>
      <c r="E86" s="280"/>
      <c r="F86" s="280"/>
      <c r="H86" s="280"/>
      <c r="I86" s="280"/>
      <c r="J86" s="280"/>
      <c r="K86" s="280"/>
      <c r="L86" s="280"/>
      <c r="M86" s="280"/>
      <c r="N86" s="280"/>
      <c r="O86" s="370">
        <v>0</v>
      </c>
      <c r="P86" s="371"/>
      <c r="Q86" s="371"/>
      <c r="R86" s="371"/>
      <c r="S86" s="371"/>
      <c r="T86" s="371"/>
      <c r="U86" s="371"/>
      <c r="V86" s="371"/>
      <c r="W86" s="372">
        <v>0</v>
      </c>
      <c r="X86" s="371"/>
      <c r="Y86" s="371"/>
      <c r="Z86" s="371"/>
      <c r="AA86" s="371"/>
      <c r="AB86" s="371"/>
      <c r="AC86" s="371"/>
    </row>
    <row r="87" spans="1:29" x14ac:dyDescent="0.2">
      <c r="A87" s="34" t="s">
        <v>284</v>
      </c>
      <c r="B87" s="34"/>
      <c r="C87" s="281">
        <v>1000000</v>
      </c>
      <c r="D87" s="286">
        <f t="shared" si="2"/>
        <v>0</v>
      </c>
      <c r="E87" s="280"/>
      <c r="F87" s="280"/>
      <c r="G87" s="374">
        <v>0</v>
      </c>
      <c r="H87" s="371"/>
      <c r="I87" s="371"/>
      <c r="J87" s="371"/>
      <c r="K87" s="371"/>
      <c r="L87" s="371"/>
      <c r="M87" s="371"/>
      <c r="N87" s="371"/>
      <c r="O87" s="373">
        <v>0</v>
      </c>
      <c r="P87" s="371"/>
      <c r="Q87" s="371"/>
      <c r="R87" s="371"/>
      <c r="S87" s="371"/>
      <c r="T87" s="371"/>
      <c r="U87" s="371"/>
      <c r="V87" s="371"/>
      <c r="W87" s="374">
        <v>0</v>
      </c>
      <c r="X87" s="371"/>
      <c r="Y87" s="371"/>
      <c r="Z87" s="371"/>
      <c r="AA87" s="371"/>
      <c r="AB87" s="371"/>
      <c r="AC87" s="371"/>
    </row>
    <row r="88" spans="1:29" x14ac:dyDescent="0.2">
      <c r="A88" s="287" t="s">
        <v>2</v>
      </c>
      <c r="B88" s="288">
        <f>SUM(B64:B87)</f>
        <v>1071</v>
      </c>
      <c r="C88" s="288"/>
      <c r="D88" s="289">
        <f t="shared" ref="D88" si="3">SUM(D64:D87)</f>
        <v>185056964.5</v>
      </c>
    </row>
    <row r="89" spans="1:29" x14ac:dyDescent="0.2">
      <c r="B89" s="14"/>
      <c r="C89" s="14"/>
      <c r="D89" s="282"/>
    </row>
    <row r="91" spans="1:29" ht="15.75" x14ac:dyDescent="0.25">
      <c r="A91" s="292" t="s">
        <v>3</v>
      </c>
    </row>
    <row r="92" spans="1:29" ht="15" x14ac:dyDescent="0.2">
      <c r="A92" s="3" t="s">
        <v>453</v>
      </c>
    </row>
  </sheetData>
  <mergeCells count="61">
    <mergeCell ref="O86:V86"/>
    <mergeCell ref="W86:AC86"/>
    <mergeCell ref="G87:N87"/>
    <mergeCell ref="O87:V87"/>
    <mergeCell ref="W87:AC87"/>
    <mergeCell ref="O84:V84"/>
    <mergeCell ref="W84:AC84"/>
    <mergeCell ref="O85:V85"/>
    <mergeCell ref="W85:AC85"/>
    <mergeCell ref="O82:V82"/>
    <mergeCell ref="W82:AC82"/>
    <mergeCell ref="O83:V83"/>
    <mergeCell ref="W83:AC83"/>
    <mergeCell ref="O80:V80"/>
    <mergeCell ref="W80:AC80"/>
    <mergeCell ref="O81:V81"/>
    <mergeCell ref="W81:AC81"/>
    <mergeCell ref="O78:V78"/>
    <mergeCell ref="W78:AC78"/>
    <mergeCell ref="O79:V79"/>
    <mergeCell ref="W79:AC79"/>
    <mergeCell ref="O76:V76"/>
    <mergeCell ref="W76:AC76"/>
    <mergeCell ref="O77:V77"/>
    <mergeCell ref="W77:AC77"/>
    <mergeCell ref="O74:V74"/>
    <mergeCell ref="W74:AC74"/>
    <mergeCell ref="O75:V75"/>
    <mergeCell ref="W75:AC75"/>
    <mergeCell ref="O72:V72"/>
    <mergeCell ref="W72:AC72"/>
    <mergeCell ref="O73:V73"/>
    <mergeCell ref="W73:AC73"/>
    <mergeCell ref="O70:V70"/>
    <mergeCell ref="W70:AC70"/>
    <mergeCell ref="O71:V71"/>
    <mergeCell ref="W71:AC71"/>
    <mergeCell ref="O68:V68"/>
    <mergeCell ref="W68:AC68"/>
    <mergeCell ref="O69:V69"/>
    <mergeCell ref="W69:AC69"/>
    <mergeCell ref="O66:V66"/>
    <mergeCell ref="W66:AC66"/>
    <mergeCell ref="O67:V67"/>
    <mergeCell ref="W67:AC67"/>
    <mergeCell ref="O64:V64"/>
    <mergeCell ref="W64:AC64"/>
    <mergeCell ref="O65:V65"/>
    <mergeCell ref="W65:AC65"/>
    <mergeCell ref="C13:I13"/>
    <mergeCell ref="C14:I14"/>
    <mergeCell ref="C15:I15"/>
    <mergeCell ref="C16:I16"/>
    <mergeCell ref="C21:I21"/>
    <mergeCell ref="A25:B25"/>
    <mergeCell ref="A26:B26"/>
    <mergeCell ref="C18:I18"/>
    <mergeCell ref="C19:I19"/>
    <mergeCell ref="C12:I12"/>
    <mergeCell ref="C17:I17"/>
    <mergeCell ref="C20:I20"/>
  </mergeCells>
  <phoneticPr fontId="2" type="noConversion"/>
  <printOptions horizontalCentered="1"/>
  <pageMargins left="0.5" right="0.5" top="1" bottom="0.75" header="0.5" footer="0.5"/>
  <pageSetup scale="78" orientation="landscape" r:id="rId1"/>
  <headerFooter alignWithMargins="0">
    <oddHeader>&amp;L&amp;"Arial Narrow,Regular"&amp;12&amp;K000000&amp;D&amp;C&amp;"Arial Narrow,Bold"&amp;14&amp;K000000TIGER V - Ardmore TOD Cost Benefit Analysis</oddHeader>
    <oddFooter>&amp;L&amp;A&amp;C&amp;"Arial Narrow,Regular"&amp;12&amp;P of &amp;N</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U25"/>
  <sheetViews>
    <sheetView zoomScaleNormal="100" workbookViewId="0">
      <selection activeCell="AU6" sqref="AU6"/>
    </sheetView>
  </sheetViews>
  <sheetFormatPr defaultColWidth="8.85546875" defaultRowHeight="12.75" x14ac:dyDescent="0.2"/>
  <cols>
    <col min="1" max="1" width="27.140625" style="5" customWidth="1"/>
    <col min="2" max="22" width="8.85546875" style="5"/>
    <col min="23" max="23" width="10.85546875" style="5" bestFit="1" customWidth="1"/>
    <col min="24" max="46" width="8.85546875" style="5"/>
    <col min="47" max="47" width="12.85546875" style="5" customWidth="1"/>
    <col min="48" max="16384" width="8.85546875" style="5"/>
  </cols>
  <sheetData>
    <row r="3" spans="1:47" x14ac:dyDescent="0.2">
      <c r="A3" s="115" t="s">
        <v>163</v>
      </c>
      <c r="B3" s="62">
        <v>-3</v>
      </c>
      <c r="C3" s="62">
        <f>B3+1</f>
        <v>-2</v>
      </c>
      <c r="D3" s="62">
        <f t="shared" ref="D3:AS4" si="0">C3+1</f>
        <v>-1</v>
      </c>
      <c r="E3" s="62">
        <f t="shared" si="0"/>
        <v>0</v>
      </c>
      <c r="F3" s="62">
        <f t="shared" si="0"/>
        <v>1</v>
      </c>
      <c r="G3" s="62">
        <f t="shared" si="0"/>
        <v>2</v>
      </c>
      <c r="H3" s="62">
        <f t="shared" si="0"/>
        <v>3</v>
      </c>
      <c r="I3" s="62">
        <f t="shared" si="0"/>
        <v>4</v>
      </c>
      <c r="J3" s="62">
        <f t="shared" si="0"/>
        <v>5</v>
      </c>
      <c r="K3" s="62">
        <f t="shared" si="0"/>
        <v>6</v>
      </c>
      <c r="L3" s="62">
        <f t="shared" si="0"/>
        <v>7</v>
      </c>
      <c r="M3" s="62">
        <f t="shared" si="0"/>
        <v>8</v>
      </c>
      <c r="N3" s="62">
        <f t="shared" si="0"/>
        <v>9</v>
      </c>
      <c r="O3" s="62">
        <f t="shared" si="0"/>
        <v>10</v>
      </c>
      <c r="P3" s="62">
        <f t="shared" si="0"/>
        <v>11</v>
      </c>
      <c r="Q3" s="62">
        <f t="shared" si="0"/>
        <v>12</v>
      </c>
      <c r="R3" s="62">
        <f t="shared" si="0"/>
        <v>13</v>
      </c>
      <c r="S3" s="62">
        <f t="shared" si="0"/>
        <v>14</v>
      </c>
      <c r="T3" s="62">
        <f t="shared" si="0"/>
        <v>15</v>
      </c>
      <c r="U3" s="62">
        <f t="shared" si="0"/>
        <v>16</v>
      </c>
      <c r="V3" s="62">
        <f t="shared" si="0"/>
        <v>17</v>
      </c>
      <c r="W3" s="62">
        <f t="shared" si="0"/>
        <v>18</v>
      </c>
      <c r="X3" s="62">
        <f t="shared" si="0"/>
        <v>19</v>
      </c>
      <c r="Y3" s="62">
        <f t="shared" si="0"/>
        <v>20</v>
      </c>
      <c r="Z3" s="62">
        <f t="shared" si="0"/>
        <v>21</v>
      </c>
      <c r="AA3" s="62">
        <f t="shared" si="0"/>
        <v>22</v>
      </c>
      <c r="AB3" s="62">
        <f t="shared" si="0"/>
        <v>23</v>
      </c>
      <c r="AC3" s="62">
        <f t="shared" si="0"/>
        <v>24</v>
      </c>
      <c r="AD3" s="62">
        <f t="shared" si="0"/>
        <v>25</v>
      </c>
      <c r="AE3" s="62">
        <f t="shared" si="0"/>
        <v>26</v>
      </c>
      <c r="AF3" s="62">
        <f t="shared" si="0"/>
        <v>27</v>
      </c>
      <c r="AG3" s="62">
        <f t="shared" si="0"/>
        <v>28</v>
      </c>
      <c r="AH3" s="62">
        <f t="shared" si="0"/>
        <v>29</v>
      </c>
      <c r="AI3" s="62">
        <f t="shared" si="0"/>
        <v>30</v>
      </c>
      <c r="AJ3" s="62">
        <f t="shared" si="0"/>
        <v>31</v>
      </c>
      <c r="AK3" s="62">
        <f t="shared" si="0"/>
        <v>32</v>
      </c>
      <c r="AL3" s="62">
        <f t="shared" si="0"/>
        <v>33</v>
      </c>
      <c r="AM3" s="62">
        <f t="shared" si="0"/>
        <v>34</v>
      </c>
      <c r="AN3" s="62">
        <f t="shared" si="0"/>
        <v>35</v>
      </c>
      <c r="AO3" s="62">
        <f t="shared" si="0"/>
        <v>36</v>
      </c>
      <c r="AP3" s="62">
        <f t="shared" si="0"/>
        <v>37</v>
      </c>
      <c r="AQ3" s="62">
        <f t="shared" si="0"/>
        <v>38</v>
      </c>
      <c r="AR3" s="62">
        <f t="shared" si="0"/>
        <v>39</v>
      </c>
      <c r="AS3" s="62">
        <f t="shared" si="0"/>
        <v>40</v>
      </c>
      <c r="AT3" s="62">
        <f t="shared" ref="AT3:AT4" si="1">AS3+1</f>
        <v>41</v>
      </c>
      <c r="AU3" s="107" t="s">
        <v>2</v>
      </c>
    </row>
    <row r="4" spans="1:47" x14ac:dyDescent="0.2">
      <c r="A4" s="226" t="s">
        <v>164</v>
      </c>
      <c r="B4" s="50">
        <v>2012</v>
      </c>
      <c r="C4" s="50">
        <f>B4+1</f>
        <v>2013</v>
      </c>
      <c r="D4" s="50">
        <f t="shared" si="0"/>
        <v>2014</v>
      </c>
      <c r="E4" s="50">
        <f t="shared" si="0"/>
        <v>2015</v>
      </c>
      <c r="F4" s="50">
        <f t="shared" si="0"/>
        <v>2016</v>
      </c>
      <c r="G4" s="50">
        <f t="shared" si="0"/>
        <v>2017</v>
      </c>
      <c r="H4" s="50">
        <f t="shared" si="0"/>
        <v>2018</v>
      </c>
      <c r="I4" s="50">
        <f t="shared" si="0"/>
        <v>2019</v>
      </c>
      <c r="J4" s="50">
        <f t="shared" si="0"/>
        <v>2020</v>
      </c>
      <c r="K4" s="50">
        <f t="shared" si="0"/>
        <v>2021</v>
      </c>
      <c r="L4" s="50">
        <f t="shared" si="0"/>
        <v>2022</v>
      </c>
      <c r="M4" s="50">
        <f t="shared" si="0"/>
        <v>2023</v>
      </c>
      <c r="N4" s="50">
        <f t="shared" si="0"/>
        <v>2024</v>
      </c>
      <c r="O4" s="50">
        <f t="shared" si="0"/>
        <v>2025</v>
      </c>
      <c r="P4" s="50">
        <f t="shared" si="0"/>
        <v>2026</v>
      </c>
      <c r="Q4" s="50">
        <f t="shared" si="0"/>
        <v>2027</v>
      </c>
      <c r="R4" s="50">
        <f t="shared" si="0"/>
        <v>2028</v>
      </c>
      <c r="S4" s="50">
        <f t="shared" si="0"/>
        <v>2029</v>
      </c>
      <c r="T4" s="50">
        <f t="shared" si="0"/>
        <v>2030</v>
      </c>
      <c r="U4" s="50">
        <f t="shared" si="0"/>
        <v>2031</v>
      </c>
      <c r="V4" s="50">
        <f t="shared" si="0"/>
        <v>2032</v>
      </c>
      <c r="W4" s="50">
        <f t="shared" si="0"/>
        <v>2033</v>
      </c>
      <c r="X4" s="50">
        <f t="shared" si="0"/>
        <v>2034</v>
      </c>
      <c r="Y4" s="50">
        <f t="shared" si="0"/>
        <v>2035</v>
      </c>
      <c r="Z4" s="50">
        <f t="shared" si="0"/>
        <v>2036</v>
      </c>
      <c r="AA4" s="50">
        <f t="shared" si="0"/>
        <v>2037</v>
      </c>
      <c r="AB4" s="50">
        <f t="shared" si="0"/>
        <v>2038</v>
      </c>
      <c r="AC4" s="50">
        <f t="shared" si="0"/>
        <v>2039</v>
      </c>
      <c r="AD4" s="50">
        <f t="shared" si="0"/>
        <v>2040</v>
      </c>
      <c r="AE4" s="50">
        <f t="shared" si="0"/>
        <v>2041</v>
      </c>
      <c r="AF4" s="50">
        <f t="shared" si="0"/>
        <v>2042</v>
      </c>
      <c r="AG4" s="50">
        <f t="shared" si="0"/>
        <v>2043</v>
      </c>
      <c r="AH4" s="50">
        <f t="shared" si="0"/>
        <v>2044</v>
      </c>
      <c r="AI4" s="50">
        <f t="shared" si="0"/>
        <v>2045</v>
      </c>
      <c r="AJ4" s="50">
        <f t="shared" si="0"/>
        <v>2046</v>
      </c>
      <c r="AK4" s="50">
        <f t="shared" si="0"/>
        <v>2047</v>
      </c>
      <c r="AL4" s="50">
        <f t="shared" si="0"/>
        <v>2048</v>
      </c>
      <c r="AM4" s="50">
        <f t="shared" si="0"/>
        <v>2049</v>
      </c>
      <c r="AN4" s="50">
        <f t="shared" si="0"/>
        <v>2050</v>
      </c>
      <c r="AO4" s="50">
        <f t="shared" si="0"/>
        <v>2051</v>
      </c>
      <c r="AP4" s="50">
        <f t="shared" si="0"/>
        <v>2052</v>
      </c>
      <c r="AQ4" s="50">
        <f t="shared" si="0"/>
        <v>2053</v>
      </c>
      <c r="AR4" s="50">
        <f t="shared" si="0"/>
        <v>2054</v>
      </c>
      <c r="AS4" s="50">
        <f t="shared" si="0"/>
        <v>2055</v>
      </c>
      <c r="AT4" s="50">
        <f t="shared" si="1"/>
        <v>2056</v>
      </c>
      <c r="AU4" s="107"/>
    </row>
    <row r="5" spans="1:47" s="31" customFormat="1" x14ac:dyDescent="0.2">
      <c r="A5" s="133" t="s">
        <v>165</v>
      </c>
      <c r="B5" s="178">
        <v>0</v>
      </c>
      <c r="C5" s="178">
        <v>0</v>
      </c>
      <c r="D5" s="178">
        <v>0</v>
      </c>
      <c r="E5" s="178">
        <f>'8 -Car Air Pollution Benefit'!E10</f>
        <v>202.2611292</v>
      </c>
      <c r="F5" s="178">
        <f t="shared" ref="F5:AS6" si="2">E5</f>
        <v>202.2611292</v>
      </c>
      <c r="G5" s="178">
        <f t="shared" si="2"/>
        <v>202.2611292</v>
      </c>
      <c r="H5" s="178">
        <f t="shared" si="2"/>
        <v>202.2611292</v>
      </c>
      <c r="I5" s="178">
        <f t="shared" si="2"/>
        <v>202.2611292</v>
      </c>
      <c r="J5" s="178">
        <f t="shared" si="2"/>
        <v>202.2611292</v>
      </c>
      <c r="K5" s="178">
        <f t="shared" si="2"/>
        <v>202.2611292</v>
      </c>
      <c r="L5" s="178">
        <f t="shared" si="2"/>
        <v>202.2611292</v>
      </c>
      <c r="M5" s="178">
        <f t="shared" si="2"/>
        <v>202.2611292</v>
      </c>
      <c r="N5" s="178">
        <f t="shared" si="2"/>
        <v>202.2611292</v>
      </c>
      <c r="O5" s="178">
        <f t="shared" si="2"/>
        <v>202.2611292</v>
      </c>
      <c r="P5" s="178">
        <f t="shared" si="2"/>
        <v>202.2611292</v>
      </c>
      <c r="Q5" s="178">
        <f t="shared" si="2"/>
        <v>202.2611292</v>
      </c>
      <c r="R5" s="178">
        <f t="shared" si="2"/>
        <v>202.2611292</v>
      </c>
      <c r="S5" s="178">
        <f t="shared" si="2"/>
        <v>202.2611292</v>
      </c>
      <c r="T5" s="178">
        <f t="shared" si="2"/>
        <v>202.2611292</v>
      </c>
      <c r="U5" s="178">
        <f t="shared" si="2"/>
        <v>202.2611292</v>
      </c>
      <c r="V5" s="178">
        <f t="shared" si="2"/>
        <v>202.2611292</v>
      </c>
      <c r="W5" s="178">
        <f t="shared" si="2"/>
        <v>202.2611292</v>
      </c>
      <c r="X5" s="178">
        <f t="shared" si="2"/>
        <v>202.2611292</v>
      </c>
      <c r="Y5" s="179">
        <f t="shared" si="2"/>
        <v>202.2611292</v>
      </c>
      <c r="Z5" s="178">
        <f t="shared" si="2"/>
        <v>202.2611292</v>
      </c>
      <c r="AA5" s="178">
        <f t="shared" si="2"/>
        <v>202.2611292</v>
      </c>
      <c r="AB5" s="178">
        <f t="shared" si="2"/>
        <v>202.2611292</v>
      </c>
      <c r="AC5" s="178">
        <f t="shared" si="2"/>
        <v>202.2611292</v>
      </c>
      <c r="AD5" s="178">
        <f t="shared" si="2"/>
        <v>202.2611292</v>
      </c>
      <c r="AE5" s="178">
        <f t="shared" si="2"/>
        <v>202.2611292</v>
      </c>
      <c r="AF5" s="178">
        <f t="shared" si="2"/>
        <v>202.2611292</v>
      </c>
      <c r="AG5" s="178">
        <f t="shared" si="2"/>
        <v>202.2611292</v>
      </c>
      <c r="AH5" s="178">
        <f t="shared" si="2"/>
        <v>202.2611292</v>
      </c>
      <c r="AI5" s="178">
        <f t="shared" si="2"/>
        <v>202.2611292</v>
      </c>
      <c r="AJ5" s="178">
        <f t="shared" si="2"/>
        <v>202.2611292</v>
      </c>
      <c r="AK5" s="178">
        <f t="shared" si="2"/>
        <v>202.2611292</v>
      </c>
      <c r="AL5" s="178">
        <f t="shared" si="2"/>
        <v>202.2611292</v>
      </c>
      <c r="AM5" s="178">
        <f t="shared" si="2"/>
        <v>202.2611292</v>
      </c>
      <c r="AN5" s="178">
        <f t="shared" si="2"/>
        <v>202.2611292</v>
      </c>
      <c r="AO5" s="178">
        <f t="shared" si="2"/>
        <v>202.2611292</v>
      </c>
      <c r="AP5" s="178">
        <f t="shared" si="2"/>
        <v>202.2611292</v>
      </c>
      <c r="AQ5" s="178">
        <f t="shared" si="2"/>
        <v>202.2611292</v>
      </c>
      <c r="AR5" s="178">
        <f t="shared" si="2"/>
        <v>202.2611292</v>
      </c>
      <c r="AS5" s="179">
        <f t="shared" si="2"/>
        <v>202.2611292</v>
      </c>
      <c r="AT5" s="179">
        <f t="shared" ref="AT5:AT6" si="3">AS5</f>
        <v>202.2611292</v>
      </c>
      <c r="AU5" s="170"/>
    </row>
    <row r="6" spans="1:47" x14ac:dyDescent="0.2">
      <c r="A6" s="4" t="s">
        <v>166</v>
      </c>
      <c r="B6" s="106">
        <v>34</v>
      </c>
      <c r="C6" s="106">
        <v>35</v>
      </c>
      <c r="D6" s="106">
        <v>36</v>
      </c>
      <c r="E6" s="106">
        <v>37</v>
      </c>
      <c r="F6" s="106">
        <v>38</v>
      </c>
      <c r="G6" s="106">
        <v>39</v>
      </c>
      <c r="H6" s="106">
        <v>40</v>
      </c>
      <c r="I6" s="106">
        <v>42</v>
      </c>
      <c r="J6" s="106">
        <v>43</v>
      </c>
      <c r="K6" s="106">
        <v>43</v>
      </c>
      <c r="L6" s="106">
        <v>44</v>
      </c>
      <c r="M6" s="106">
        <v>45</v>
      </c>
      <c r="N6" s="106">
        <v>46</v>
      </c>
      <c r="O6" s="106">
        <v>47</v>
      </c>
      <c r="P6" s="106">
        <v>48</v>
      </c>
      <c r="Q6" s="106">
        <v>49</v>
      </c>
      <c r="R6" s="106">
        <v>50</v>
      </c>
      <c r="S6" s="106">
        <v>51</v>
      </c>
      <c r="T6" s="106">
        <v>52</v>
      </c>
      <c r="U6" s="106">
        <v>52</v>
      </c>
      <c r="V6" s="106">
        <f>U6+1</f>
        <v>53</v>
      </c>
      <c r="W6" s="106">
        <f t="shared" ref="W6:AN6" si="4">V6+1</f>
        <v>54</v>
      </c>
      <c r="X6" s="106">
        <f t="shared" si="4"/>
        <v>55</v>
      </c>
      <c r="Y6" s="106">
        <f t="shared" si="4"/>
        <v>56</v>
      </c>
      <c r="Z6" s="106">
        <f t="shared" si="4"/>
        <v>57</v>
      </c>
      <c r="AA6" s="106">
        <f t="shared" si="4"/>
        <v>58</v>
      </c>
      <c r="AB6" s="106">
        <f t="shared" si="4"/>
        <v>59</v>
      </c>
      <c r="AC6" s="106">
        <f t="shared" si="4"/>
        <v>60</v>
      </c>
      <c r="AD6" s="106">
        <f t="shared" si="4"/>
        <v>61</v>
      </c>
      <c r="AE6" s="106">
        <f t="shared" si="4"/>
        <v>62</v>
      </c>
      <c r="AF6" s="106">
        <f t="shared" si="4"/>
        <v>63</v>
      </c>
      <c r="AG6" s="106">
        <f t="shared" si="4"/>
        <v>64</v>
      </c>
      <c r="AH6" s="106">
        <f t="shared" si="4"/>
        <v>65</v>
      </c>
      <c r="AI6" s="106">
        <f t="shared" si="4"/>
        <v>66</v>
      </c>
      <c r="AJ6" s="106">
        <f t="shared" si="4"/>
        <v>67</v>
      </c>
      <c r="AK6" s="106">
        <f t="shared" si="4"/>
        <v>68</v>
      </c>
      <c r="AL6" s="106">
        <f t="shared" si="4"/>
        <v>69</v>
      </c>
      <c r="AM6" s="106">
        <f t="shared" si="4"/>
        <v>70</v>
      </c>
      <c r="AN6" s="106">
        <f t="shared" si="4"/>
        <v>71</v>
      </c>
      <c r="AO6" s="106">
        <f>AN6</f>
        <v>71</v>
      </c>
      <c r="AP6" s="106">
        <f t="shared" si="2"/>
        <v>71</v>
      </c>
      <c r="AQ6" s="106">
        <f t="shared" si="2"/>
        <v>71</v>
      </c>
      <c r="AR6" s="106">
        <f t="shared" si="2"/>
        <v>71</v>
      </c>
      <c r="AS6" s="106">
        <f t="shared" si="2"/>
        <v>71</v>
      </c>
      <c r="AT6" s="106">
        <f t="shared" si="3"/>
        <v>71</v>
      </c>
      <c r="AU6" s="108"/>
    </row>
    <row r="7" spans="1:47" x14ac:dyDescent="0.2">
      <c r="A7" s="4" t="s">
        <v>205</v>
      </c>
      <c r="B7" s="106">
        <f t="shared" ref="B7:AT7" si="5">B6*$B$25</f>
        <v>37.859471602404398</v>
      </c>
      <c r="C7" s="106">
        <f t="shared" si="5"/>
        <v>38.972985473063353</v>
      </c>
      <c r="D7" s="106">
        <f t="shared" si="5"/>
        <v>40.086499343722302</v>
      </c>
      <c r="E7" s="106">
        <f t="shared" si="5"/>
        <v>41.200013214381258</v>
      </c>
      <c r="F7" s="106">
        <f t="shared" si="5"/>
        <v>42.313527085040214</v>
      </c>
      <c r="G7" s="106">
        <f t="shared" si="5"/>
        <v>43.427040955699162</v>
      </c>
      <c r="H7" s="106">
        <f t="shared" si="5"/>
        <v>44.540554826358118</v>
      </c>
      <c r="I7" s="106">
        <f t="shared" si="5"/>
        <v>46.767582567676023</v>
      </c>
      <c r="J7" s="106">
        <f t="shared" si="5"/>
        <v>47.881096438334978</v>
      </c>
      <c r="K7" s="106">
        <f t="shared" si="5"/>
        <v>47.881096438334978</v>
      </c>
      <c r="L7" s="106">
        <f t="shared" si="5"/>
        <v>48.994610308993927</v>
      </c>
      <c r="M7" s="106">
        <f t="shared" si="5"/>
        <v>50.108124179652883</v>
      </c>
      <c r="N7" s="106">
        <f t="shared" si="5"/>
        <v>51.221638050311832</v>
      </c>
      <c r="O7" s="106">
        <f t="shared" si="5"/>
        <v>52.335151920970787</v>
      </c>
      <c r="P7" s="106">
        <f t="shared" si="5"/>
        <v>53.448665791629736</v>
      </c>
      <c r="Q7" s="106">
        <f t="shared" si="5"/>
        <v>54.562179662288692</v>
      </c>
      <c r="R7" s="106">
        <f t="shared" si="5"/>
        <v>55.675693532947648</v>
      </c>
      <c r="S7" s="106">
        <f t="shared" si="5"/>
        <v>56.789207403606596</v>
      </c>
      <c r="T7" s="106">
        <f t="shared" si="5"/>
        <v>57.902721274265552</v>
      </c>
      <c r="U7" s="106">
        <f t="shared" si="5"/>
        <v>57.902721274265552</v>
      </c>
      <c r="V7" s="106">
        <f t="shared" si="5"/>
        <v>59.016235144924501</v>
      </c>
      <c r="W7" s="106">
        <f t="shared" si="5"/>
        <v>60.129749015583457</v>
      </c>
      <c r="X7" s="106">
        <f t="shared" si="5"/>
        <v>61.243262886242412</v>
      </c>
      <c r="Y7" s="180">
        <f t="shared" si="5"/>
        <v>62.356776756901361</v>
      </c>
      <c r="Z7" s="106">
        <f t="shared" si="5"/>
        <v>63.470290627560317</v>
      </c>
      <c r="AA7" s="106">
        <f t="shared" si="5"/>
        <v>64.583804498219266</v>
      </c>
      <c r="AB7" s="106">
        <f t="shared" si="5"/>
        <v>65.697318368878229</v>
      </c>
      <c r="AC7" s="106">
        <f t="shared" si="5"/>
        <v>66.810832239537177</v>
      </c>
      <c r="AD7" s="106">
        <f t="shared" si="5"/>
        <v>67.924346110196126</v>
      </c>
      <c r="AE7" s="106">
        <f t="shared" si="5"/>
        <v>69.037859980855075</v>
      </c>
      <c r="AF7" s="106">
        <f t="shared" si="5"/>
        <v>70.151373851514037</v>
      </c>
      <c r="AG7" s="106">
        <f t="shared" si="5"/>
        <v>71.264887722172986</v>
      </c>
      <c r="AH7" s="106">
        <f t="shared" si="5"/>
        <v>72.378401592831935</v>
      </c>
      <c r="AI7" s="106">
        <f t="shared" si="5"/>
        <v>73.491915463490898</v>
      </c>
      <c r="AJ7" s="106">
        <f t="shared" si="5"/>
        <v>74.605429334149846</v>
      </c>
      <c r="AK7" s="106">
        <f t="shared" si="5"/>
        <v>75.718943204808795</v>
      </c>
      <c r="AL7" s="106">
        <f t="shared" si="5"/>
        <v>76.832457075467744</v>
      </c>
      <c r="AM7" s="106">
        <f t="shared" si="5"/>
        <v>77.945970946126707</v>
      </c>
      <c r="AN7" s="106">
        <f t="shared" si="5"/>
        <v>79.059484816785655</v>
      </c>
      <c r="AO7" s="106">
        <f t="shared" si="5"/>
        <v>79.059484816785655</v>
      </c>
      <c r="AP7" s="106">
        <f t="shared" si="5"/>
        <v>79.059484816785655</v>
      </c>
      <c r="AQ7" s="106">
        <f t="shared" si="5"/>
        <v>79.059484816785655</v>
      </c>
      <c r="AR7" s="106">
        <f t="shared" si="5"/>
        <v>79.059484816785655</v>
      </c>
      <c r="AS7" s="180">
        <f t="shared" si="5"/>
        <v>79.059484816785655</v>
      </c>
      <c r="AT7" s="180">
        <f t="shared" si="5"/>
        <v>79.059484816785655</v>
      </c>
      <c r="AU7" s="108"/>
    </row>
    <row r="8" spans="1:47" x14ac:dyDescent="0.2">
      <c r="A8" s="4" t="s">
        <v>167</v>
      </c>
      <c r="B8" s="106">
        <f t="shared" ref="B8:AS8" si="6">B5*B7</f>
        <v>0</v>
      </c>
      <c r="C8" s="106">
        <f t="shared" si="6"/>
        <v>0</v>
      </c>
      <c r="D8" s="106">
        <f t="shared" si="6"/>
        <v>0</v>
      </c>
      <c r="E8" s="106">
        <f t="shared" si="6"/>
        <v>8333.1611957956757</v>
      </c>
      <c r="F8" s="106">
        <f t="shared" si="6"/>
        <v>8558.3817686550174</v>
      </c>
      <c r="G8" s="106">
        <f t="shared" si="6"/>
        <v>8783.6023415143591</v>
      </c>
      <c r="H8" s="106">
        <f t="shared" si="6"/>
        <v>9008.8229143737026</v>
      </c>
      <c r="I8" s="106">
        <f t="shared" si="6"/>
        <v>9459.2640600923878</v>
      </c>
      <c r="J8" s="106">
        <f t="shared" si="6"/>
        <v>9684.4846329517313</v>
      </c>
      <c r="K8" s="106">
        <f t="shared" si="6"/>
        <v>9684.4846329517313</v>
      </c>
      <c r="L8" s="106">
        <f t="shared" si="6"/>
        <v>9909.705205811073</v>
      </c>
      <c r="M8" s="106">
        <f t="shared" si="6"/>
        <v>10134.925778670417</v>
      </c>
      <c r="N8" s="106">
        <f t="shared" si="6"/>
        <v>10360.146351529758</v>
      </c>
      <c r="O8" s="106">
        <f t="shared" si="6"/>
        <v>10585.3669243891</v>
      </c>
      <c r="P8" s="106">
        <f t="shared" si="6"/>
        <v>10810.587497248442</v>
      </c>
      <c r="Q8" s="106">
        <f t="shared" si="6"/>
        <v>11035.808070107785</v>
      </c>
      <c r="R8" s="106">
        <f t="shared" si="6"/>
        <v>11261.028642967129</v>
      </c>
      <c r="S8" s="106">
        <f t="shared" si="6"/>
        <v>11486.24921582647</v>
      </c>
      <c r="T8" s="106">
        <f t="shared" si="6"/>
        <v>11711.469788685814</v>
      </c>
      <c r="U8" s="106">
        <f t="shared" si="6"/>
        <v>11711.469788685814</v>
      </c>
      <c r="V8" s="106">
        <f t="shared" si="6"/>
        <v>11936.690361545156</v>
      </c>
      <c r="W8" s="106">
        <f t="shared" si="6"/>
        <v>12161.910934404499</v>
      </c>
      <c r="X8" s="106">
        <f t="shared" si="6"/>
        <v>12387.131507263841</v>
      </c>
      <c r="Y8" s="180">
        <f t="shared" si="6"/>
        <v>12612.352080123183</v>
      </c>
      <c r="Z8" s="106">
        <f t="shared" si="6"/>
        <v>12837.572652982526</v>
      </c>
      <c r="AA8" s="106">
        <f t="shared" si="6"/>
        <v>13062.793225841868</v>
      </c>
      <c r="AB8" s="106">
        <f t="shared" si="6"/>
        <v>13288.013798701213</v>
      </c>
      <c r="AC8" s="106">
        <f t="shared" si="6"/>
        <v>13513.234371560555</v>
      </c>
      <c r="AD8" s="106">
        <f t="shared" si="6"/>
        <v>13738.454944419896</v>
      </c>
      <c r="AE8" s="106">
        <f t="shared" si="6"/>
        <v>13963.675517279238</v>
      </c>
      <c r="AF8" s="106">
        <f t="shared" si="6"/>
        <v>14188.896090138582</v>
      </c>
      <c r="AG8" s="106">
        <f t="shared" si="6"/>
        <v>14414.116662997923</v>
      </c>
      <c r="AH8" s="106">
        <f t="shared" si="6"/>
        <v>14639.337235857265</v>
      </c>
      <c r="AI8" s="106">
        <f t="shared" si="6"/>
        <v>14864.55780871661</v>
      </c>
      <c r="AJ8" s="106">
        <f t="shared" si="6"/>
        <v>15089.778381575952</v>
      </c>
      <c r="AK8" s="106">
        <f t="shared" si="6"/>
        <v>15314.998954435294</v>
      </c>
      <c r="AL8" s="106">
        <f t="shared" si="6"/>
        <v>15540.219527294636</v>
      </c>
      <c r="AM8" s="106">
        <f t="shared" si="6"/>
        <v>15765.440100153981</v>
      </c>
      <c r="AN8" s="106">
        <f t="shared" si="6"/>
        <v>15990.660673013323</v>
      </c>
      <c r="AO8" s="106">
        <f t="shared" si="6"/>
        <v>15990.660673013323</v>
      </c>
      <c r="AP8" s="106">
        <f t="shared" si="6"/>
        <v>15990.660673013323</v>
      </c>
      <c r="AQ8" s="106">
        <f t="shared" si="6"/>
        <v>15990.660673013323</v>
      </c>
      <c r="AR8" s="106">
        <f t="shared" si="6"/>
        <v>15990.660673013323</v>
      </c>
      <c r="AS8" s="180">
        <f t="shared" si="6"/>
        <v>15990.660673013323</v>
      </c>
      <c r="AT8" s="180">
        <f>AT5*AT7</f>
        <v>15990.660673013323</v>
      </c>
      <c r="AU8" s="108">
        <f>SUM(B8:AS8)</f>
        <v>517782.09700362844</v>
      </c>
    </row>
    <row r="9" spans="1:47" x14ac:dyDescent="0.2">
      <c r="A9" s="17" t="s">
        <v>168</v>
      </c>
      <c r="B9" s="181">
        <f t="shared" ref="B9:AR9" si="7">B8/(1.03^B3)</f>
        <v>0</v>
      </c>
      <c r="C9" s="181">
        <f t="shared" si="7"/>
        <v>0</v>
      </c>
      <c r="D9" s="181">
        <f t="shared" si="7"/>
        <v>0</v>
      </c>
      <c r="E9" s="181">
        <f t="shared" si="7"/>
        <v>8333.1611957956757</v>
      </c>
      <c r="F9" s="181">
        <f t="shared" si="7"/>
        <v>8309.1085132572989</v>
      </c>
      <c r="G9" s="181">
        <f t="shared" si="7"/>
        <v>8279.3876345691006</v>
      </c>
      <c r="H9" s="181">
        <f t="shared" si="7"/>
        <v>8244.3491506787177</v>
      </c>
      <c r="I9" s="181">
        <f t="shared" si="7"/>
        <v>8404.4336002064592</v>
      </c>
      <c r="J9" s="181">
        <f t="shared" si="7"/>
        <v>8353.9215166176109</v>
      </c>
      <c r="K9" s="181">
        <f t="shared" si="7"/>
        <v>8110.6034141918544</v>
      </c>
      <c r="L9" s="181">
        <f t="shared" si="7"/>
        <v>8057.4971827600257</v>
      </c>
      <c r="M9" s="181">
        <f t="shared" si="7"/>
        <v>8000.6039987687827</v>
      </c>
      <c r="N9" s="181">
        <f t="shared" si="7"/>
        <v>7940.1895133411863</v>
      </c>
      <c r="O9" s="181">
        <f t="shared" si="7"/>
        <v>7876.5071153869931</v>
      </c>
      <c r="P9" s="181">
        <f t="shared" si="7"/>
        <v>7809.7984205448383</v>
      </c>
      <c r="Q9" s="181">
        <f t="shared" si="7"/>
        <v>7740.2937420448452</v>
      </c>
      <c r="R9" s="181">
        <f t="shared" si="7"/>
        <v>7668.2125441300241</v>
      </c>
      <c r="S9" s="181">
        <f t="shared" si="7"/>
        <v>7593.7638786530324</v>
      </c>
      <c r="T9" s="181">
        <f t="shared" si="7"/>
        <v>7517.1468054437019</v>
      </c>
      <c r="U9" s="181">
        <f t="shared" si="7"/>
        <v>7298.2007819841783</v>
      </c>
      <c r="V9" s="181">
        <f t="shared" si="7"/>
        <v>7221.8939776915877</v>
      </c>
      <c r="W9" s="181">
        <f t="shared" si="7"/>
        <v>7143.8409011787089</v>
      </c>
      <c r="X9" s="181">
        <f t="shared" si="7"/>
        <v>7064.2080108743075</v>
      </c>
      <c r="Y9" s="182">
        <f t="shared" si="7"/>
        <v>6983.1535500257933</v>
      </c>
      <c r="Z9" s="181">
        <f t="shared" si="7"/>
        <v>6900.8278840407474</v>
      </c>
      <c r="AA9" s="181">
        <f t="shared" si="7"/>
        <v>6817.3738251467094</v>
      </c>
      <c r="AB9" s="181">
        <f t="shared" si="7"/>
        <v>6732.9269448218265</v>
      </c>
      <c r="AC9" s="181">
        <f t="shared" si="7"/>
        <v>6647.615874433267</v>
      </c>
      <c r="AD9" s="181">
        <f t="shared" si="7"/>
        <v>6561.562594505328</v>
      </c>
      <c r="AE9" s="181">
        <f t="shared" si="7"/>
        <v>6474.8827130245145</v>
      </c>
      <c r="AF9" s="181">
        <f t="shared" si="7"/>
        <v>6387.685733174827</v>
      </c>
      <c r="AG9" s="181">
        <f t="shared" si="7"/>
        <v>6300.0753108828621</v>
      </c>
      <c r="AH9" s="181">
        <f t="shared" si="7"/>
        <v>6212.1495025392305</v>
      </c>
      <c r="AI9" s="181">
        <f t="shared" si="7"/>
        <v>6124.0010032500268</v>
      </c>
      <c r="AJ9" s="181">
        <f t="shared" si="7"/>
        <v>6035.7173759598654</v>
      </c>
      <c r="AK9" s="181">
        <f t="shared" si="7"/>
        <v>5947.381271776133</v>
      </c>
      <c r="AL9" s="181">
        <f t="shared" si="7"/>
        <v>5859.0706418125801</v>
      </c>
      <c r="AM9" s="181">
        <f t="shared" si="7"/>
        <v>5770.8589408594453</v>
      </c>
      <c r="AN9" s="181">
        <f t="shared" si="7"/>
        <v>5682.815323176429</v>
      </c>
      <c r="AO9" s="181">
        <f t="shared" si="7"/>
        <v>5517.2964302683777</v>
      </c>
      <c r="AP9" s="181">
        <f t="shared" si="7"/>
        <v>5356.5984759887169</v>
      </c>
      <c r="AQ9" s="181">
        <f t="shared" si="7"/>
        <v>5200.5810446492396</v>
      </c>
      <c r="AR9" s="181">
        <f t="shared" si="7"/>
        <v>5049.1078103390673</v>
      </c>
      <c r="AS9" s="182">
        <f>AS8/(1.03^AS3)</f>
        <v>4902.0464178049206</v>
      </c>
      <c r="AT9" s="182">
        <f>AT8/(1.03^AT3)</f>
        <v>4759.2683668008931</v>
      </c>
      <c r="AU9" s="108">
        <f>SUM(B9:AS9)</f>
        <v>284430.85056659876</v>
      </c>
    </row>
    <row r="10" spans="1:47" ht="16.5" x14ac:dyDescent="0.3">
      <c r="AU10" s="109"/>
    </row>
    <row r="11" spans="1:47" ht="16.5" x14ac:dyDescent="0.3">
      <c r="AU11" s="109"/>
    </row>
    <row r="12" spans="1:47" ht="16.5" x14ac:dyDescent="0.3">
      <c r="B12" s="105"/>
      <c r="C12" s="105"/>
      <c r="D12" s="105"/>
      <c r="E12" s="105"/>
      <c r="F12" s="105"/>
      <c r="G12" s="110"/>
      <c r="H12" s="105"/>
      <c r="I12" s="105"/>
      <c r="J12" s="105"/>
      <c r="P12" s="105"/>
      <c r="Z12" s="105"/>
      <c r="AA12" s="105"/>
      <c r="AB12" s="105"/>
      <c r="AU12" s="109"/>
    </row>
    <row r="13" spans="1:47" ht="16.5" x14ac:dyDescent="0.3">
      <c r="B13" s="105"/>
      <c r="C13" s="105"/>
      <c r="D13" s="105"/>
      <c r="E13" s="105"/>
      <c r="F13" s="105"/>
      <c r="G13" s="111"/>
      <c r="H13" s="105"/>
      <c r="I13" s="112"/>
      <c r="J13" s="113"/>
      <c r="P13" s="105"/>
      <c r="Z13" s="105"/>
      <c r="AA13" s="105"/>
      <c r="AB13" s="105"/>
      <c r="AU13" s="109"/>
    </row>
    <row r="14" spans="1:47" ht="16.5" x14ac:dyDescent="0.3">
      <c r="B14" s="105"/>
      <c r="D14" s="105"/>
      <c r="F14" s="105"/>
      <c r="H14" s="105"/>
      <c r="I14" s="112"/>
      <c r="J14" s="114"/>
      <c r="P14" s="105"/>
      <c r="Z14" s="105"/>
      <c r="AA14" s="105"/>
      <c r="AB14" s="105"/>
      <c r="AU14" s="109"/>
    </row>
    <row r="15" spans="1:47" ht="16.5" x14ac:dyDescent="0.3">
      <c r="A15" s="226" t="s">
        <v>163</v>
      </c>
      <c r="B15" s="50">
        <f>Z3</f>
        <v>21</v>
      </c>
      <c r="C15" s="50">
        <f t="shared" ref="C15:W15" si="8">AA3</f>
        <v>22</v>
      </c>
      <c r="D15" s="50">
        <f t="shared" si="8"/>
        <v>23</v>
      </c>
      <c r="E15" s="50">
        <f t="shared" si="8"/>
        <v>24</v>
      </c>
      <c r="F15" s="50">
        <f t="shared" si="8"/>
        <v>25</v>
      </c>
      <c r="G15" s="50">
        <f t="shared" si="8"/>
        <v>26</v>
      </c>
      <c r="H15" s="50">
        <f t="shared" si="8"/>
        <v>27</v>
      </c>
      <c r="I15" s="50">
        <f t="shared" si="8"/>
        <v>28</v>
      </c>
      <c r="J15" s="50">
        <f t="shared" si="8"/>
        <v>29</v>
      </c>
      <c r="K15" s="50">
        <f t="shared" si="8"/>
        <v>30</v>
      </c>
      <c r="L15" s="50">
        <f t="shared" si="8"/>
        <v>31</v>
      </c>
      <c r="M15" s="50">
        <f t="shared" si="8"/>
        <v>32</v>
      </c>
      <c r="N15" s="50">
        <f t="shared" si="8"/>
        <v>33</v>
      </c>
      <c r="O15" s="50">
        <f t="shared" si="8"/>
        <v>34</v>
      </c>
      <c r="P15" s="50">
        <f t="shared" si="8"/>
        <v>35</v>
      </c>
      <c r="Q15" s="50">
        <f t="shared" si="8"/>
        <v>36</v>
      </c>
      <c r="R15" s="50">
        <f t="shared" si="8"/>
        <v>37</v>
      </c>
      <c r="S15" s="50">
        <f t="shared" si="8"/>
        <v>38</v>
      </c>
      <c r="T15" s="50">
        <f t="shared" si="8"/>
        <v>39</v>
      </c>
      <c r="U15" s="50">
        <f t="shared" si="8"/>
        <v>40</v>
      </c>
      <c r="V15" s="99">
        <f t="shared" si="8"/>
        <v>41</v>
      </c>
      <c r="W15" s="107" t="str">
        <f t="shared" si="8"/>
        <v>Total</v>
      </c>
      <c r="Z15" s="105"/>
      <c r="AA15" s="105"/>
      <c r="AB15" s="105"/>
      <c r="AU15" s="109"/>
    </row>
    <row r="16" spans="1:47" ht="16.5" x14ac:dyDescent="0.3">
      <c r="A16" s="227" t="s">
        <v>164</v>
      </c>
      <c r="B16" s="62">
        <f t="shared" ref="B16:V16" si="9">Z4</f>
        <v>2036</v>
      </c>
      <c r="C16" s="62">
        <f t="shared" si="9"/>
        <v>2037</v>
      </c>
      <c r="D16" s="62">
        <f t="shared" si="9"/>
        <v>2038</v>
      </c>
      <c r="E16" s="62">
        <f t="shared" si="9"/>
        <v>2039</v>
      </c>
      <c r="F16" s="62">
        <f t="shared" si="9"/>
        <v>2040</v>
      </c>
      <c r="G16" s="62">
        <f t="shared" si="9"/>
        <v>2041</v>
      </c>
      <c r="H16" s="62">
        <f t="shared" si="9"/>
        <v>2042</v>
      </c>
      <c r="I16" s="62">
        <f t="shared" si="9"/>
        <v>2043</v>
      </c>
      <c r="J16" s="62">
        <f t="shared" si="9"/>
        <v>2044</v>
      </c>
      <c r="K16" s="62">
        <f t="shared" si="9"/>
        <v>2045</v>
      </c>
      <c r="L16" s="62">
        <f t="shared" si="9"/>
        <v>2046</v>
      </c>
      <c r="M16" s="62">
        <f t="shared" si="9"/>
        <v>2047</v>
      </c>
      <c r="N16" s="62">
        <f t="shared" si="9"/>
        <v>2048</v>
      </c>
      <c r="O16" s="62">
        <f t="shared" si="9"/>
        <v>2049</v>
      </c>
      <c r="P16" s="62">
        <f t="shared" si="9"/>
        <v>2050</v>
      </c>
      <c r="Q16" s="62">
        <f t="shared" si="9"/>
        <v>2051</v>
      </c>
      <c r="R16" s="62">
        <f t="shared" si="9"/>
        <v>2052</v>
      </c>
      <c r="S16" s="62">
        <f t="shared" si="9"/>
        <v>2053</v>
      </c>
      <c r="T16" s="62">
        <f t="shared" si="9"/>
        <v>2054</v>
      </c>
      <c r="U16" s="62">
        <f t="shared" si="9"/>
        <v>2055</v>
      </c>
      <c r="V16" s="228">
        <f t="shared" si="9"/>
        <v>2056</v>
      </c>
      <c r="W16" s="107"/>
      <c r="Z16" s="105"/>
      <c r="AA16" s="105"/>
      <c r="AB16" s="105"/>
      <c r="AU16" s="109"/>
    </row>
    <row r="17" spans="1:47" ht="16.5" x14ac:dyDescent="0.3">
      <c r="A17" s="133" t="s">
        <v>165</v>
      </c>
      <c r="B17" s="178">
        <f t="shared" ref="B17:V17" si="10">Z5</f>
        <v>202.2611292</v>
      </c>
      <c r="C17" s="178">
        <f t="shared" si="10"/>
        <v>202.2611292</v>
      </c>
      <c r="D17" s="178">
        <f t="shared" si="10"/>
        <v>202.2611292</v>
      </c>
      <c r="E17" s="178">
        <f t="shared" si="10"/>
        <v>202.2611292</v>
      </c>
      <c r="F17" s="178">
        <f t="shared" si="10"/>
        <v>202.2611292</v>
      </c>
      <c r="G17" s="178">
        <f t="shared" si="10"/>
        <v>202.2611292</v>
      </c>
      <c r="H17" s="178">
        <f t="shared" si="10"/>
        <v>202.2611292</v>
      </c>
      <c r="I17" s="178">
        <f t="shared" si="10"/>
        <v>202.2611292</v>
      </c>
      <c r="J17" s="178">
        <f t="shared" si="10"/>
        <v>202.2611292</v>
      </c>
      <c r="K17" s="178">
        <f t="shared" si="10"/>
        <v>202.2611292</v>
      </c>
      <c r="L17" s="178">
        <f t="shared" si="10"/>
        <v>202.2611292</v>
      </c>
      <c r="M17" s="178">
        <f t="shared" si="10"/>
        <v>202.2611292</v>
      </c>
      <c r="N17" s="178">
        <f t="shared" si="10"/>
        <v>202.2611292</v>
      </c>
      <c r="O17" s="178">
        <f t="shared" si="10"/>
        <v>202.2611292</v>
      </c>
      <c r="P17" s="178">
        <f t="shared" si="10"/>
        <v>202.2611292</v>
      </c>
      <c r="Q17" s="178">
        <f t="shared" si="10"/>
        <v>202.2611292</v>
      </c>
      <c r="R17" s="178">
        <f t="shared" si="10"/>
        <v>202.2611292</v>
      </c>
      <c r="S17" s="178">
        <f t="shared" si="10"/>
        <v>202.2611292</v>
      </c>
      <c r="T17" s="178">
        <f t="shared" si="10"/>
        <v>202.2611292</v>
      </c>
      <c r="U17" s="179">
        <f t="shared" si="10"/>
        <v>202.2611292</v>
      </c>
      <c r="V17" s="179">
        <f t="shared" si="10"/>
        <v>202.2611292</v>
      </c>
      <c r="W17" s="170"/>
      <c r="X17" s="105"/>
      <c r="Y17" s="105"/>
      <c r="Z17" s="105"/>
      <c r="AA17" s="105"/>
      <c r="AB17" s="105"/>
      <c r="AU17" s="109"/>
    </row>
    <row r="18" spans="1:47" ht="16.5" x14ac:dyDescent="0.3">
      <c r="A18" s="4" t="s">
        <v>166</v>
      </c>
      <c r="B18" s="106">
        <f t="shared" ref="B18:V18" si="11">Z6</f>
        <v>57</v>
      </c>
      <c r="C18" s="106">
        <f t="shared" si="11"/>
        <v>58</v>
      </c>
      <c r="D18" s="106">
        <f t="shared" si="11"/>
        <v>59</v>
      </c>
      <c r="E18" s="106">
        <f t="shared" si="11"/>
        <v>60</v>
      </c>
      <c r="F18" s="106">
        <f t="shared" si="11"/>
        <v>61</v>
      </c>
      <c r="G18" s="106">
        <f t="shared" si="11"/>
        <v>62</v>
      </c>
      <c r="H18" s="106">
        <f t="shared" si="11"/>
        <v>63</v>
      </c>
      <c r="I18" s="106">
        <f t="shared" si="11"/>
        <v>64</v>
      </c>
      <c r="J18" s="106">
        <f t="shared" si="11"/>
        <v>65</v>
      </c>
      <c r="K18" s="106">
        <f t="shared" si="11"/>
        <v>66</v>
      </c>
      <c r="L18" s="106">
        <f t="shared" si="11"/>
        <v>67</v>
      </c>
      <c r="M18" s="106">
        <f t="shared" si="11"/>
        <v>68</v>
      </c>
      <c r="N18" s="106">
        <f t="shared" si="11"/>
        <v>69</v>
      </c>
      <c r="O18" s="106">
        <f t="shared" si="11"/>
        <v>70</v>
      </c>
      <c r="P18" s="106">
        <f t="shared" si="11"/>
        <v>71</v>
      </c>
      <c r="Q18" s="106">
        <f t="shared" si="11"/>
        <v>71</v>
      </c>
      <c r="R18" s="106">
        <f t="shared" si="11"/>
        <v>71</v>
      </c>
      <c r="S18" s="106">
        <f t="shared" si="11"/>
        <v>71</v>
      </c>
      <c r="T18" s="106">
        <f t="shared" si="11"/>
        <v>71</v>
      </c>
      <c r="U18" s="180">
        <f t="shared" si="11"/>
        <v>71</v>
      </c>
      <c r="V18" s="180">
        <f t="shared" si="11"/>
        <v>71</v>
      </c>
      <c r="W18" s="108"/>
      <c r="AU18" s="109"/>
    </row>
    <row r="19" spans="1:47" x14ac:dyDescent="0.2">
      <c r="A19" s="4" t="s">
        <v>205</v>
      </c>
      <c r="B19" s="106">
        <f t="shared" ref="B19:V19" si="12">Z7</f>
        <v>63.470290627560317</v>
      </c>
      <c r="C19" s="106">
        <f t="shared" si="12"/>
        <v>64.583804498219266</v>
      </c>
      <c r="D19" s="106">
        <f t="shared" si="12"/>
        <v>65.697318368878229</v>
      </c>
      <c r="E19" s="106">
        <f t="shared" si="12"/>
        <v>66.810832239537177</v>
      </c>
      <c r="F19" s="106">
        <f t="shared" si="12"/>
        <v>67.924346110196126</v>
      </c>
      <c r="G19" s="106">
        <f t="shared" si="12"/>
        <v>69.037859980855075</v>
      </c>
      <c r="H19" s="106">
        <f t="shared" si="12"/>
        <v>70.151373851514037</v>
      </c>
      <c r="I19" s="106">
        <f t="shared" si="12"/>
        <v>71.264887722172986</v>
      </c>
      <c r="J19" s="106">
        <f t="shared" si="12"/>
        <v>72.378401592831935</v>
      </c>
      <c r="K19" s="106">
        <f t="shared" si="12"/>
        <v>73.491915463490898</v>
      </c>
      <c r="L19" s="106">
        <f t="shared" si="12"/>
        <v>74.605429334149846</v>
      </c>
      <c r="M19" s="106">
        <f t="shared" si="12"/>
        <v>75.718943204808795</v>
      </c>
      <c r="N19" s="106">
        <f t="shared" si="12"/>
        <v>76.832457075467744</v>
      </c>
      <c r="O19" s="106">
        <f t="shared" si="12"/>
        <v>77.945970946126707</v>
      </c>
      <c r="P19" s="106">
        <f t="shared" si="12"/>
        <v>79.059484816785655</v>
      </c>
      <c r="Q19" s="106">
        <f t="shared" si="12"/>
        <v>79.059484816785655</v>
      </c>
      <c r="R19" s="106">
        <f t="shared" si="12"/>
        <v>79.059484816785655</v>
      </c>
      <c r="S19" s="106">
        <f t="shared" si="12"/>
        <v>79.059484816785655</v>
      </c>
      <c r="T19" s="106">
        <f t="shared" si="12"/>
        <v>79.059484816785655</v>
      </c>
      <c r="U19" s="180">
        <f t="shared" si="12"/>
        <v>79.059484816785655</v>
      </c>
      <c r="V19" s="180">
        <f t="shared" si="12"/>
        <v>79.059484816785655</v>
      </c>
      <c r="W19" s="108"/>
    </row>
    <row r="20" spans="1:47" x14ac:dyDescent="0.2">
      <c r="A20" s="4" t="s">
        <v>167</v>
      </c>
      <c r="B20" s="106">
        <f t="shared" ref="B20:W20" si="13">Z8</f>
        <v>12837.572652982526</v>
      </c>
      <c r="C20" s="106">
        <f t="shared" si="13"/>
        <v>13062.793225841868</v>
      </c>
      <c r="D20" s="106">
        <f t="shared" si="13"/>
        <v>13288.013798701213</v>
      </c>
      <c r="E20" s="106">
        <f t="shared" si="13"/>
        <v>13513.234371560555</v>
      </c>
      <c r="F20" s="106">
        <f t="shared" si="13"/>
        <v>13738.454944419896</v>
      </c>
      <c r="G20" s="106">
        <f t="shared" si="13"/>
        <v>13963.675517279238</v>
      </c>
      <c r="H20" s="106">
        <f t="shared" si="13"/>
        <v>14188.896090138582</v>
      </c>
      <c r="I20" s="106">
        <f t="shared" si="13"/>
        <v>14414.116662997923</v>
      </c>
      <c r="J20" s="106">
        <f t="shared" si="13"/>
        <v>14639.337235857265</v>
      </c>
      <c r="K20" s="106">
        <f t="shared" si="13"/>
        <v>14864.55780871661</v>
      </c>
      <c r="L20" s="106">
        <f t="shared" si="13"/>
        <v>15089.778381575952</v>
      </c>
      <c r="M20" s="106">
        <f t="shared" si="13"/>
        <v>15314.998954435294</v>
      </c>
      <c r="N20" s="106">
        <f t="shared" si="13"/>
        <v>15540.219527294636</v>
      </c>
      <c r="O20" s="106">
        <f t="shared" si="13"/>
        <v>15765.440100153981</v>
      </c>
      <c r="P20" s="106">
        <f t="shared" si="13"/>
        <v>15990.660673013323</v>
      </c>
      <c r="Q20" s="106">
        <f t="shared" si="13"/>
        <v>15990.660673013323</v>
      </c>
      <c r="R20" s="106">
        <f t="shared" si="13"/>
        <v>15990.660673013323</v>
      </c>
      <c r="S20" s="106">
        <f t="shared" si="13"/>
        <v>15990.660673013323</v>
      </c>
      <c r="T20" s="106">
        <f t="shared" si="13"/>
        <v>15990.660673013323</v>
      </c>
      <c r="U20" s="180">
        <f t="shared" si="13"/>
        <v>15990.660673013323</v>
      </c>
      <c r="V20" s="180">
        <f t="shared" si="13"/>
        <v>15990.660673013323</v>
      </c>
      <c r="W20" s="108">
        <f t="shared" si="13"/>
        <v>517782.09700362844</v>
      </c>
    </row>
    <row r="21" spans="1:47" x14ac:dyDescent="0.2">
      <c r="A21" s="17" t="s">
        <v>168</v>
      </c>
      <c r="B21" s="181">
        <f t="shared" ref="B21:W21" si="14">Z9</f>
        <v>6900.8278840407474</v>
      </c>
      <c r="C21" s="181">
        <f t="shared" si="14"/>
        <v>6817.3738251467094</v>
      </c>
      <c r="D21" s="181">
        <f t="shared" si="14"/>
        <v>6732.9269448218265</v>
      </c>
      <c r="E21" s="181">
        <f t="shared" si="14"/>
        <v>6647.615874433267</v>
      </c>
      <c r="F21" s="181">
        <f t="shared" si="14"/>
        <v>6561.562594505328</v>
      </c>
      <c r="G21" s="181">
        <f t="shared" si="14"/>
        <v>6474.8827130245145</v>
      </c>
      <c r="H21" s="181">
        <f t="shared" si="14"/>
        <v>6387.685733174827</v>
      </c>
      <c r="I21" s="181">
        <f t="shared" si="14"/>
        <v>6300.0753108828621</v>
      </c>
      <c r="J21" s="181">
        <f t="shared" si="14"/>
        <v>6212.1495025392305</v>
      </c>
      <c r="K21" s="181">
        <f t="shared" si="14"/>
        <v>6124.0010032500268</v>
      </c>
      <c r="L21" s="181">
        <f t="shared" si="14"/>
        <v>6035.7173759598654</v>
      </c>
      <c r="M21" s="181">
        <f t="shared" si="14"/>
        <v>5947.381271776133</v>
      </c>
      <c r="N21" s="181">
        <f t="shared" si="14"/>
        <v>5859.0706418125801</v>
      </c>
      <c r="O21" s="181">
        <f t="shared" si="14"/>
        <v>5770.8589408594453</v>
      </c>
      <c r="P21" s="181">
        <f t="shared" si="14"/>
        <v>5682.815323176429</v>
      </c>
      <c r="Q21" s="181">
        <f t="shared" si="14"/>
        <v>5517.2964302683777</v>
      </c>
      <c r="R21" s="181">
        <f t="shared" si="14"/>
        <v>5356.5984759887169</v>
      </c>
      <c r="S21" s="181">
        <f t="shared" si="14"/>
        <v>5200.5810446492396</v>
      </c>
      <c r="T21" s="181">
        <f t="shared" si="14"/>
        <v>5049.1078103390673</v>
      </c>
      <c r="U21" s="182">
        <f t="shared" si="14"/>
        <v>4902.0464178049206</v>
      </c>
      <c r="V21" s="182">
        <f t="shared" si="14"/>
        <v>4759.2683668008931</v>
      </c>
      <c r="W21" s="108">
        <f t="shared" si="14"/>
        <v>284430.85056659876</v>
      </c>
    </row>
    <row r="25" spans="1:47" x14ac:dyDescent="0.2">
      <c r="A25" s="5" t="s">
        <v>210</v>
      </c>
      <c r="B25" s="5">
        <f>'1-Nominal Adjustment'!I5</f>
        <v>1.1135138706589529</v>
      </c>
      <c r="C25" s="5" t="s">
        <v>177</v>
      </c>
    </row>
  </sheetData>
  <phoneticPr fontId="9" type="noConversion"/>
  <printOptions horizontalCentered="1"/>
  <pageMargins left="0.5" right="0.5" top="1" bottom="0.75" header="0.5" footer="0.5"/>
  <pageSetup scale="46" orientation="landscape" r:id="rId1"/>
  <headerFooter alignWithMargins="0">
    <oddHeader>&amp;L&amp;"Arial Narrow,Regular"&amp;12&amp;K000000&amp;D&amp;C&amp;"Arial Narrow,Bold"&amp;14&amp;K000000TIGER V - Ardmore TOD Cost Benefit Analysis</oddHeader>
    <oddFooter>&amp;L&amp;A&amp;C&amp;"Arial Narrow,Regular"&amp;12&amp;P of &amp;N</oddFooter>
  </headerFooter>
  <colBreaks count="1" manualBreakCount="1">
    <brk id="25" max="1048575" man="1"/>
  </colBreaks>
  <legacy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3"/>
  <sheetViews>
    <sheetView workbookViewId="0">
      <selection activeCell="G14" sqref="G14"/>
    </sheetView>
  </sheetViews>
  <sheetFormatPr defaultColWidth="8.85546875" defaultRowHeight="12.75" x14ac:dyDescent="0.2"/>
  <cols>
    <col min="1" max="1" width="37.7109375" style="3" customWidth="1"/>
    <col min="2" max="7" width="10.7109375" style="3" customWidth="1"/>
    <col min="8" max="8" width="13.28515625" style="3" customWidth="1"/>
    <col min="9" max="54" width="9" style="3" bestFit="1" customWidth="1"/>
    <col min="55" max="55" width="9" style="3" customWidth="1"/>
    <col min="56" max="56" width="9" style="3" bestFit="1" customWidth="1"/>
    <col min="57" max="57" width="14.85546875" style="3" customWidth="1"/>
    <col min="58" max="16384" width="8.85546875" style="3"/>
  </cols>
  <sheetData>
    <row r="1" spans="1:57" x14ac:dyDescent="0.2">
      <c r="A1" s="3" t="s">
        <v>214</v>
      </c>
      <c r="I1" s="229">
        <v>41640</v>
      </c>
      <c r="J1" s="229">
        <v>41671</v>
      </c>
      <c r="K1" s="229">
        <v>41699</v>
      </c>
      <c r="L1" s="229">
        <v>41730</v>
      </c>
      <c r="M1" s="229">
        <v>41760</v>
      </c>
      <c r="N1" s="229">
        <v>41791</v>
      </c>
      <c r="O1" s="229">
        <v>41821</v>
      </c>
      <c r="P1" s="229">
        <v>41852</v>
      </c>
      <c r="Q1" s="229">
        <v>41883</v>
      </c>
      <c r="R1" s="229">
        <v>41913</v>
      </c>
      <c r="S1" s="229">
        <v>41944</v>
      </c>
      <c r="T1" s="229">
        <v>41974</v>
      </c>
      <c r="U1" s="229">
        <v>42005</v>
      </c>
      <c r="V1" s="229">
        <v>42036</v>
      </c>
      <c r="W1" s="229">
        <v>42064</v>
      </c>
      <c r="X1" s="229">
        <v>42095</v>
      </c>
      <c r="Y1" s="229">
        <v>42125</v>
      </c>
      <c r="Z1" s="229">
        <v>42156</v>
      </c>
      <c r="AA1" s="229">
        <v>42186</v>
      </c>
      <c r="AB1" s="229">
        <v>42217</v>
      </c>
      <c r="AC1" s="229">
        <v>42248</v>
      </c>
      <c r="AD1" s="229">
        <v>42278</v>
      </c>
      <c r="AE1" s="229">
        <v>42309</v>
      </c>
      <c r="AF1" s="229">
        <v>42339</v>
      </c>
      <c r="AG1" s="229">
        <v>42370</v>
      </c>
      <c r="AH1" s="229">
        <v>42401</v>
      </c>
      <c r="AI1" s="229">
        <v>42430</v>
      </c>
      <c r="AJ1" s="229">
        <v>42461</v>
      </c>
      <c r="AK1" s="229">
        <v>42491</v>
      </c>
      <c r="AL1" s="229">
        <v>42522</v>
      </c>
      <c r="AM1" s="229">
        <v>42552</v>
      </c>
      <c r="AN1" s="229">
        <v>42583</v>
      </c>
      <c r="AO1" s="229">
        <v>42614</v>
      </c>
      <c r="AP1" s="229">
        <v>42644</v>
      </c>
      <c r="AQ1" s="229">
        <v>42675</v>
      </c>
      <c r="AR1" s="229">
        <v>42705</v>
      </c>
      <c r="AS1" s="229">
        <v>42736</v>
      </c>
      <c r="AT1" s="229">
        <v>42767</v>
      </c>
      <c r="AU1" s="229">
        <v>42795</v>
      </c>
      <c r="AV1" s="229">
        <v>42826</v>
      </c>
      <c r="AW1" s="229">
        <v>42856</v>
      </c>
      <c r="AX1" s="229">
        <v>42887</v>
      </c>
      <c r="AY1" s="229">
        <v>42917</v>
      </c>
      <c r="AZ1" s="229">
        <v>42948</v>
      </c>
      <c r="BA1" s="229">
        <v>42979</v>
      </c>
      <c r="BB1" s="229">
        <v>43009</v>
      </c>
      <c r="BC1" s="229">
        <v>43040</v>
      </c>
      <c r="BD1" s="229">
        <v>43070</v>
      </c>
    </row>
    <row r="2" spans="1:57" x14ac:dyDescent="0.2">
      <c r="A2" s="3" t="s">
        <v>27</v>
      </c>
      <c r="I2" s="9">
        <f>YEAR(I1)</f>
        <v>2014</v>
      </c>
      <c r="J2" s="9">
        <f t="shared" ref="J2:BD2" si="0">YEAR(J1)</f>
        <v>2014</v>
      </c>
      <c r="K2" s="9">
        <f t="shared" si="0"/>
        <v>2014</v>
      </c>
      <c r="L2" s="9">
        <f t="shared" si="0"/>
        <v>2014</v>
      </c>
      <c r="M2" s="9">
        <f t="shared" si="0"/>
        <v>2014</v>
      </c>
      <c r="N2" s="9">
        <f t="shared" si="0"/>
        <v>2014</v>
      </c>
      <c r="O2" s="9">
        <f t="shared" si="0"/>
        <v>2014</v>
      </c>
      <c r="P2" s="9">
        <f t="shared" si="0"/>
        <v>2014</v>
      </c>
      <c r="Q2" s="9">
        <f t="shared" si="0"/>
        <v>2014</v>
      </c>
      <c r="R2" s="9">
        <f t="shared" si="0"/>
        <v>2014</v>
      </c>
      <c r="S2" s="9">
        <f t="shared" si="0"/>
        <v>2014</v>
      </c>
      <c r="T2" s="9">
        <f t="shared" si="0"/>
        <v>2014</v>
      </c>
      <c r="U2" s="9">
        <f t="shared" si="0"/>
        <v>2015</v>
      </c>
      <c r="V2" s="9">
        <f t="shared" si="0"/>
        <v>2015</v>
      </c>
      <c r="W2" s="9">
        <f t="shared" si="0"/>
        <v>2015</v>
      </c>
      <c r="X2" s="9">
        <f t="shared" si="0"/>
        <v>2015</v>
      </c>
      <c r="Y2" s="9">
        <f t="shared" si="0"/>
        <v>2015</v>
      </c>
      <c r="Z2" s="9">
        <f t="shared" si="0"/>
        <v>2015</v>
      </c>
      <c r="AA2" s="9">
        <f t="shared" si="0"/>
        <v>2015</v>
      </c>
      <c r="AB2" s="9">
        <f t="shared" si="0"/>
        <v>2015</v>
      </c>
      <c r="AC2" s="9">
        <f t="shared" si="0"/>
        <v>2015</v>
      </c>
      <c r="AD2" s="9">
        <f t="shared" si="0"/>
        <v>2015</v>
      </c>
      <c r="AE2" s="9">
        <f t="shared" si="0"/>
        <v>2015</v>
      </c>
      <c r="AF2" s="9">
        <f t="shared" si="0"/>
        <v>2015</v>
      </c>
      <c r="AG2" s="9">
        <f t="shared" si="0"/>
        <v>2016</v>
      </c>
      <c r="AH2" s="9">
        <f t="shared" si="0"/>
        <v>2016</v>
      </c>
      <c r="AI2" s="9">
        <f t="shared" si="0"/>
        <v>2016</v>
      </c>
      <c r="AJ2" s="9">
        <f t="shared" si="0"/>
        <v>2016</v>
      </c>
      <c r="AK2" s="9">
        <f t="shared" si="0"/>
        <v>2016</v>
      </c>
      <c r="AL2" s="9">
        <f t="shared" si="0"/>
        <v>2016</v>
      </c>
      <c r="AM2" s="9">
        <f t="shared" si="0"/>
        <v>2016</v>
      </c>
      <c r="AN2" s="9">
        <f t="shared" si="0"/>
        <v>2016</v>
      </c>
      <c r="AO2" s="9">
        <f t="shared" si="0"/>
        <v>2016</v>
      </c>
      <c r="AP2" s="9">
        <f t="shared" si="0"/>
        <v>2016</v>
      </c>
      <c r="AQ2" s="9">
        <f t="shared" si="0"/>
        <v>2016</v>
      </c>
      <c r="AR2" s="9">
        <f t="shared" si="0"/>
        <v>2016</v>
      </c>
      <c r="AS2" s="9">
        <f t="shared" si="0"/>
        <v>2017</v>
      </c>
      <c r="AT2" s="9">
        <f t="shared" si="0"/>
        <v>2017</v>
      </c>
      <c r="AU2" s="9">
        <f t="shared" si="0"/>
        <v>2017</v>
      </c>
      <c r="AV2" s="9">
        <f t="shared" si="0"/>
        <v>2017</v>
      </c>
      <c r="AW2" s="9">
        <f t="shared" si="0"/>
        <v>2017</v>
      </c>
      <c r="AX2" s="9">
        <f t="shared" si="0"/>
        <v>2017</v>
      </c>
      <c r="AY2" s="9">
        <f t="shared" si="0"/>
        <v>2017</v>
      </c>
      <c r="AZ2" s="9">
        <f t="shared" si="0"/>
        <v>2017</v>
      </c>
      <c r="BA2" s="9">
        <f t="shared" si="0"/>
        <v>2017</v>
      </c>
      <c r="BB2" s="9">
        <f t="shared" si="0"/>
        <v>2017</v>
      </c>
      <c r="BC2" s="9">
        <f t="shared" si="0"/>
        <v>2017</v>
      </c>
      <c r="BD2" s="9">
        <f t="shared" si="0"/>
        <v>2017</v>
      </c>
    </row>
    <row r="3" spans="1:57" x14ac:dyDescent="0.2">
      <c r="A3" s="32"/>
      <c r="B3" s="219" t="s">
        <v>222</v>
      </c>
      <c r="C3" s="219" t="s">
        <v>223</v>
      </c>
      <c r="D3" s="219" t="s">
        <v>229</v>
      </c>
      <c r="E3" s="219" t="s">
        <v>230</v>
      </c>
      <c r="F3" s="219" t="s">
        <v>226</v>
      </c>
      <c r="G3" s="219" t="s">
        <v>1</v>
      </c>
      <c r="H3" s="219"/>
      <c r="I3" s="15">
        <v>1</v>
      </c>
      <c r="J3" s="15">
        <f>I3+1</f>
        <v>2</v>
      </c>
      <c r="K3" s="15">
        <f t="shared" ref="K3:BD3" si="1">J3+1</f>
        <v>3</v>
      </c>
      <c r="L3" s="15">
        <f t="shared" si="1"/>
        <v>4</v>
      </c>
      <c r="M3" s="15">
        <f t="shared" si="1"/>
        <v>5</v>
      </c>
      <c r="N3" s="15">
        <f t="shared" si="1"/>
        <v>6</v>
      </c>
      <c r="O3" s="15">
        <f t="shared" si="1"/>
        <v>7</v>
      </c>
      <c r="P3" s="15">
        <f t="shared" si="1"/>
        <v>8</v>
      </c>
      <c r="Q3" s="15">
        <f t="shared" si="1"/>
        <v>9</v>
      </c>
      <c r="R3" s="15">
        <f t="shared" si="1"/>
        <v>10</v>
      </c>
      <c r="S3" s="15">
        <f t="shared" si="1"/>
        <v>11</v>
      </c>
      <c r="T3" s="15">
        <f t="shared" si="1"/>
        <v>12</v>
      </c>
      <c r="U3" s="15">
        <f t="shared" si="1"/>
        <v>13</v>
      </c>
      <c r="V3" s="15">
        <f t="shared" si="1"/>
        <v>14</v>
      </c>
      <c r="W3" s="15">
        <f t="shared" si="1"/>
        <v>15</v>
      </c>
      <c r="X3" s="15">
        <f t="shared" si="1"/>
        <v>16</v>
      </c>
      <c r="Y3" s="15">
        <f t="shared" si="1"/>
        <v>17</v>
      </c>
      <c r="Z3" s="15">
        <f t="shared" si="1"/>
        <v>18</v>
      </c>
      <c r="AA3" s="15">
        <f t="shared" si="1"/>
        <v>19</v>
      </c>
      <c r="AB3" s="15">
        <f t="shared" si="1"/>
        <v>20</v>
      </c>
      <c r="AC3" s="15">
        <f t="shared" si="1"/>
        <v>21</v>
      </c>
      <c r="AD3" s="15">
        <f t="shared" si="1"/>
        <v>22</v>
      </c>
      <c r="AE3" s="15">
        <f t="shared" si="1"/>
        <v>23</v>
      </c>
      <c r="AF3" s="15">
        <f t="shared" si="1"/>
        <v>24</v>
      </c>
      <c r="AG3" s="15">
        <f t="shared" si="1"/>
        <v>25</v>
      </c>
      <c r="AH3" s="15">
        <f t="shared" si="1"/>
        <v>26</v>
      </c>
      <c r="AI3" s="15">
        <f t="shared" si="1"/>
        <v>27</v>
      </c>
      <c r="AJ3" s="15">
        <f t="shared" si="1"/>
        <v>28</v>
      </c>
      <c r="AK3" s="15">
        <f t="shared" si="1"/>
        <v>29</v>
      </c>
      <c r="AL3" s="15">
        <f t="shared" si="1"/>
        <v>30</v>
      </c>
      <c r="AM3" s="15">
        <f t="shared" si="1"/>
        <v>31</v>
      </c>
      <c r="AN3" s="15">
        <f t="shared" si="1"/>
        <v>32</v>
      </c>
      <c r="AO3" s="15">
        <f t="shared" si="1"/>
        <v>33</v>
      </c>
      <c r="AP3" s="15">
        <f t="shared" si="1"/>
        <v>34</v>
      </c>
      <c r="AQ3" s="15">
        <f t="shared" si="1"/>
        <v>35</v>
      </c>
      <c r="AR3" s="15">
        <f t="shared" si="1"/>
        <v>36</v>
      </c>
      <c r="AS3" s="15">
        <f t="shared" si="1"/>
        <v>37</v>
      </c>
      <c r="AT3" s="15">
        <f t="shared" si="1"/>
        <v>38</v>
      </c>
      <c r="AU3" s="15">
        <f t="shared" si="1"/>
        <v>39</v>
      </c>
      <c r="AV3" s="15">
        <f t="shared" si="1"/>
        <v>40</v>
      </c>
      <c r="AW3" s="15">
        <f t="shared" si="1"/>
        <v>41</v>
      </c>
      <c r="AX3" s="15">
        <f t="shared" si="1"/>
        <v>42</v>
      </c>
      <c r="AY3" s="15">
        <f t="shared" si="1"/>
        <v>43</v>
      </c>
      <c r="AZ3" s="15">
        <f t="shared" si="1"/>
        <v>44</v>
      </c>
      <c r="BA3" s="15">
        <f t="shared" si="1"/>
        <v>45</v>
      </c>
      <c r="BB3" s="15">
        <f t="shared" si="1"/>
        <v>46</v>
      </c>
      <c r="BC3" s="15">
        <f t="shared" si="1"/>
        <v>47</v>
      </c>
      <c r="BD3" s="15">
        <f t="shared" si="1"/>
        <v>48</v>
      </c>
      <c r="BE3" s="14"/>
    </row>
    <row r="4" spans="1:57" x14ac:dyDescent="0.2">
      <c r="A4" s="3" t="s">
        <v>220</v>
      </c>
      <c r="B4" s="230">
        <v>41760</v>
      </c>
      <c r="C4" s="230">
        <v>41760</v>
      </c>
      <c r="D4" s="3">
        <v>5</v>
      </c>
      <c r="E4" s="3">
        <v>5</v>
      </c>
      <c r="F4" s="3">
        <f>E4-D4+1</f>
        <v>1</v>
      </c>
      <c r="G4" s="14">
        <f>SUM(I4:BD4)</f>
        <v>12.7</v>
      </c>
      <c r="H4" s="14"/>
      <c r="I4" s="14"/>
      <c r="J4" s="14"/>
      <c r="K4" s="14"/>
      <c r="L4" s="14"/>
      <c r="M4" s="14">
        <f>$B58/$F4</f>
        <v>12.7</v>
      </c>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x14ac:dyDescent="0.2">
      <c r="A5" s="3" t="s">
        <v>221</v>
      </c>
      <c r="B5" s="230">
        <v>41760</v>
      </c>
      <c r="C5" s="230">
        <v>42004</v>
      </c>
      <c r="D5" s="3">
        <v>5</v>
      </c>
      <c r="E5" s="3">
        <v>12</v>
      </c>
      <c r="F5" s="3">
        <f t="shared" ref="F5:F7" si="2">E5-D5+1</f>
        <v>8</v>
      </c>
      <c r="G5" s="14">
        <f t="shared" ref="G5:G7" si="3">SUM(I5:BD5)</f>
        <v>-12.700000000000001</v>
      </c>
      <c r="H5" s="14"/>
      <c r="I5" s="14"/>
      <c r="J5" s="14"/>
      <c r="K5" s="14"/>
      <c r="L5" s="14"/>
      <c r="M5" s="14">
        <f>$B59/$F5</f>
        <v>-1.5874999999999999</v>
      </c>
      <c r="N5" s="14">
        <f t="shared" ref="N5:T5" si="4">$B59/$F5</f>
        <v>-1.5874999999999999</v>
      </c>
      <c r="O5" s="14">
        <f t="shared" si="4"/>
        <v>-1.5874999999999999</v>
      </c>
      <c r="P5" s="14">
        <f t="shared" si="4"/>
        <v>-1.5874999999999999</v>
      </c>
      <c r="Q5" s="14">
        <f t="shared" si="4"/>
        <v>-1.5874999999999999</v>
      </c>
      <c r="R5" s="14">
        <f t="shared" si="4"/>
        <v>-1.5874999999999999</v>
      </c>
      <c r="S5" s="14">
        <f t="shared" si="4"/>
        <v>-1.5874999999999999</v>
      </c>
      <c r="T5" s="14">
        <f t="shared" si="4"/>
        <v>-1.5874999999999999</v>
      </c>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x14ac:dyDescent="0.2">
      <c r="A6" s="3" t="s">
        <v>224</v>
      </c>
      <c r="B6" s="230">
        <v>42217</v>
      </c>
      <c r="C6" s="230">
        <v>42978</v>
      </c>
      <c r="D6" s="3">
        <v>20</v>
      </c>
      <c r="E6" s="3">
        <v>44</v>
      </c>
      <c r="F6" s="3">
        <f t="shared" si="2"/>
        <v>25</v>
      </c>
      <c r="G6" s="14">
        <f t="shared" si="3"/>
        <v>0</v>
      </c>
      <c r="H6" s="14"/>
      <c r="I6" s="14"/>
      <c r="J6" s="14"/>
      <c r="K6" s="14"/>
      <c r="L6" s="14"/>
      <c r="M6" s="14"/>
      <c r="N6" s="14"/>
      <c r="O6" s="14"/>
      <c r="P6" s="14"/>
      <c r="Q6" s="14"/>
      <c r="R6" s="14"/>
      <c r="S6" s="14"/>
      <c r="T6" s="14"/>
      <c r="U6" s="14"/>
      <c r="V6" s="14"/>
      <c r="W6" s="14"/>
      <c r="X6" s="14"/>
      <c r="Y6" s="14"/>
      <c r="Z6" s="14"/>
      <c r="AA6" s="14"/>
      <c r="AB6" s="14">
        <f t="shared" ref="AB6:AZ6" si="5">$B60/$F6</f>
        <v>0</v>
      </c>
      <c r="AC6" s="14">
        <f t="shared" si="5"/>
        <v>0</v>
      </c>
      <c r="AD6" s="14">
        <f t="shared" si="5"/>
        <v>0</v>
      </c>
      <c r="AE6" s="14">
        <f t="shared" si="5"/>
        <v>0</v>
      </c>
      <c r="AF6" s="14">
        <f t="shared" si="5"/>
        <v>0</v>
      </c>
      <c r="AG6" s="14">
        <f t="shared" si="5"/>
        <v>0</v>
      </c>
      <c r="AH6" s="14">
        <f t="shared" si="5"/>
        <v>0</v>
      </c>
      <c r="AI6" s="14">
        <f t="shared" si="5"/>
        <v>0</v>
      </c>
      <c r="AJ6" s="14">
        <f t="shared" si="5"/>
        <v>0</v>
      </c>
      <c r="AK6" s="14">
        <f t="shared" si="5"/>
        <v>0</v>
      </c>
      <c r="AL6" s="14">
        <f t="shared" si="5"/>
        <v>0</v>
      </c>
      <c r="AM6" s="14">
        <f t="shared" si="5"/>
        <v>0</v>
      </c>
      <c r="AN6" s="14">
        <f t="shared" si="5"/>
        <v>0</v>
      </c>
      <c r="AO6" s="14">
        <f t="shared" si="5"/>
        <v>0</v>
      </c>
      <c r="AP6" s="14">
        <f t="shared" si="5"/>
        <v>0</v>
      </c>
      <c r="AQ6" s="14">
        <f t="shared" si="5"/>
        <v>0</v>
      </c>
      <c r="AR6" s="14">
        <f t="shared" si="5"/>
        <v>0</v>
      </c>
      <c r="AS6" s="14">
        <f t="shared" si="5"/>
        <v>0</v>
      </c>
      <c r="AT6" s="14">
        <f t="shared" si="5"/>
        <v>0</v>
      </c>
      <c r="AU6" s="14">
        <f t="shared" si="5"/>
        <v>0</v>
      </c>
      <c r="AV6" s="14">
        <f t="shared" si="5"/>
        <v>0</v>
      </c>
      <c r="AW6" s="14">
        <f t="shared" si="5"/>
        <v>0</v>
      </c>
      <c r="AX6" s="14">
        <f t="shared" si="5"/>
        <v>0</v>
      </c>
      <c r="AY6" s="14">
        <f t="shared" si="5"/>
        <v>0</v>
      </c>
      <c r="AZ6" s="14">
        <f t="shared" si="5"/>
        <v>0</v>
      </c>
      <c r="BA6" s="14"/>
      <c r="BB6" s="14"/>
      <c r="BC6" s="14"/>
      <c r="BD6" s="14"/>
      <c r="BE6" s="14"/>
    </row>
    <row r="7" spans="1:57" x14ac:dyDescent="0.2">
      <c r="A7" s="3" t="s">
        <v>225</v>
      </c>
      <c r="B7" s="230">
        <v>42217</v>
      </c>
      <c r="C7" s="230">
        <v>42978</v>
      </c>
      <c r="D7" s="3">
        <v>20</v>
      </c>
      <c r="E7" s="3">
        <v>44</v>
      </c>
      <c r="F7" s="3">
        <f t="shared" si="2"/>
        <v>25</v>
      </c>
      <c r="G7" s="14">
        <f t="shared" si="3"/>
        <v>0</v>
      </c>
      <c r="H7" s="14"/>
      <c r="I7" s="14"/>
      <c r="J7" s="14"/>
      <c r="K7" s="14"/>
      <c r="L7" s="14"/>
      <c r="M7" s="14"/>
      <c r="N7" s="14"/>
      <c r="O7" s="14"/>
      <c r="P7" s="14"/>
      <c r="Q7" s="14"/>
      <c r="R7" s="14"/>
      <c r="S7" s="14"/>
      <c r="T7" s="14"/>
      <c r="U7" s="14"/>
      <c r="V7" s="14"/>
      <c r="W7" s="14"/>
      <c r="X7" s="14"/>
      <c r="Y7" s="14"/>
      <c r="Z7" s="14"/>
      <c r="AA7" s="14"/>
      <c r="AB7" s="14">
        <f t="shared" ref="AB7:AZ7" si="6">$B61/$F7</f>
        <v>0</v>
      </c>
      <c r="AC7" s="14">
        <f t="shared" si="6"/>
        <v>0</v>
      </c>
      <c r="AD7" s="14">
        <f t="shared" si="6"/>
        <v>0</v>
      </c>
      <c r="AE7" s="14">
        <f t="shared" si="6"/>
        <v>0</v>
      </c>
      <c r="AF7" s="14">
        <f t="shared" si="6"/>
        <v>0</v>
      </c>
      <c r="AG7" s="14">
        <f t="shared" si="6"/>
        <v>0</v>
      </c>
      <c r="AH7" s="14">
        <f t="shared" si="6"/>
        <v>0</v>
      </c>
      <c r="AI7" s="14">
        <f t="shared" si="6"/>
        <v>0</v>
      </c>
      <c r="AJ7" s="14">
        <f t="shared" si="6"/>
        <v>0</v>
      </c>
      <c r="AK7" s="14">
        <f t="shared" si="6"/>
        <v>0</v>
      </c>
      <c r="AL7" s="14">
        <f t="shared" si="6"/>
        <v>0</v>
      </c>
      <c r="AM7" s="14">
        <f t="shared" si="6"/>
        <v>0</v>
      </c>
      <c r="AN7" s="14">
        <f t="shared" si="6"/>
        <v>0</v>
      </c>
      <c r="AO7" s="14">
        <f t="shared" si="6"/>
        <v>0</v>
      </c>
      <c r="AP7" s="14">
        <f t="shared" si="6"/>
        <v>0</v>
      </c>
      <c r="AQ7" s="14">
        <f t="shared" si="6"/>
        <v>0</v>
      </c>
      <c r="AR7" s="14">
        <f t="shared" si="6"/>
        <v>0</v>
      </c>
      <c r="AS7" s="14">
        <f t="shared" si="6"/>
        <v>0</v>
      </c>
      <c r="AT7" s="14">
        <f t="shared" si="6"/>
        <v>0</v>
      </c>
      <c r="AU7" s="14">
        <f t="shared" si="6"/>
        <v>0</v>
      </c>
      <c r="AV7" s="14">
        <f t="shared" si="6"/>
        <v>0</v>
      </c>
      <c r="AW7" s="14">
        <f t="shared" si="6"/>
        <v>0</v>
      </c>
      <c r="AX7" s="14">
        <f t="shared" si="6"/>
        <v>0</v>
      </c>
      <c r="AY7" s="14">
        <f t="shared" si="6"/>
        <v>0</v>
      </c>
      <c r="AZ7" s="14">
        <f t="shared" si="6"/>
        <v>0</v>
      </c>
      <c r="BA7" s="14"/>
      <c r="BB7" s="14"/>
      <c r="BC7" s="14"/>
      <c r="BD7" s="14"/>
      <c r="BE7" s="14"/>
    </row>
    <row r="8" spans="1:57" x14ac:dyDescent="0.2">
      <c r="A8" s="124" t="s">
        <v>24</v>
      </c>
      <c r="B8" s="124"/>
      <c r="C8" s="124"/>
      <c r="D8" s="124"/>
      <c r="E8" s="124"/>
      <c r="F8" s="124"/>
      <c r="G8" s="234">
        <f>SUM(G4:G7)</f>
        <v>-1.7763568394002505E-15</v>
      </c>
      <c r="H8" s="234"/>
      <c r="I8" s="234">
        <f t="shared" ref="I8:BD8" si="7">SUM(I4:I7)</f>
        <v>0</v>
      </c>
      <c r="J8" s="234">
        <f t="shared" si="7"/>
        <v>0</v>
      </c>
      <c r="K8" s="234">
        <f t="shared" si="7"/>
        <v>0</v>
      </c>
      <c r="L8" s="234">
        <f t="shared" si="7"/>
        <v>0</v>
      </c>
      <c r="M8" s="234">
        <f t="shared" si="7"/>
        <v>11.112499999999999</v>
      </c>
      <c r="N8" s="234">
        <f t="shared" si="7"/>
        <v>-1.5874999999999999</v>
      </c>
      <c r="O8" s="234">
        <f t="shared" si="7"/>
        <v>-1.5874999999999999</v>
      </c>
      <c r="P8" s="234">
        <f t="shared" si="7"/>
        <v>-1.5874999999999999</v>
      </c>
      <c r="Q8" s="234">
        <f t="shared" si="7"/>
        <v>-1.5874999999999999</v>
      </c>
      <c r="R8" s="234">
        <f t="shared" si="7"/>
        <v>-1.5874999999999999</v>
      </c>
      <c r="S8" s="234">
        <f t="shared" si="7"/>
        <v>-1.5874999999999999</v>
      </c>
      <c r="T8" s="234">
        <f t="shared" si="7"/>
        <v>-1.5874999999999999</v>
      </c>
      <c r="U8" s="234">
        <f t="shared" si="7"/>
        <v>0</v>
      </c>
      <c r="V8" s="234">
        <f t="shared" si="7"/>
        <v>0</v>
      </c>
      <c r="W8" s="234">
        <f t="shared" si="7"/>
        <v>0</v>
      </c>
      <c r="X8" s="234">
        <f t="shared" si="7"/>
        <v>0</v>
      </c>
      <c r="Y8" s="234">
        <f t="shared" si="7"/>
        <v>0</v>
      </c>
      <c r="Z8" s="234">
        <f t="shared" si="7"/>
        <v>0</v>
      </c>
      <c r="AA8" s="234">
        <f t="shared" si="7"/>
        <v>0</v>
      </c>
      <c r="AB8" s="234">
        <f t="shared" si="7"/>
        <v>0</v>
      </c>
      <c r="AC8" s="234">
        <f t="shared" si="7"/>
        <v>0</v>
      </c>
      <c r="AD8" s="234">
        <f t="shared" si="7"/>
        <v>0</v>
      </c>
      <c r="AE8" s="234">
        <f t="shared" si="7"/>
        <v>0</v>
      </c>
      <c r="AF8" s="234">
        <f t="shared" si="7"/>
        <v>0</v>
      </c>
      <c r="AG8" s="234">
        <f t="shared" si="7"/>
        <v>0</v>
      </c>
      <c r="AH8" s="234">
        <f t="shared" si="7"/>
        <v>0</v>
      </c>
      <c r="AI8" s="234">
        <f t="shared" si="7"/>
        <v>0</v>
      </c>
      <c r="AJ8" s="234">
        <f t="shared" si="7"/>
        <v>0</v>
      </c>
      <c r="AK8" s="234">
        <f t="shared" si="7"/>
        <v>0</v>
      </c>
      <c r="AL8" s="234">
        <f t="shared" si="7"/>
        <v>0</v>
      </c>
      <c r="AM8" s="234">
        <f t="shared" si="7"/>
        <v>0</v>
      </c>
      <c r="AN8" s="234">
        <f t="shared" si="7"/>
        <v>0</v>
      </c>
      <c r="AO8" s="234">
        <f t="shared" si="7"/>
        <v>0</v>
      </c>
      <c r="AP8" s="234">
        <f t="shared" si="7"/>
        <v>0</v>
      </c>
      <c r="AQ8" s="234">
        <f t="shared" si="7"/>
        <v>0</v>
      </c>
      <c r="AR8" s="234">
        <f t="shared" si="7"/>
        <v>0</v>
      </c>
      <c r="AS8" s="234">
        <f t="shared" si="7"/>
        <v>0</v>
      </c>
      <c r="AT8" s="234">
        <f t="shared" si="7"/>
        <v>0</v>
      </c>
      <c r="AU8" s="234">
        <f t="shared" si="7"/>
        <v>0</v>
      </c>
      <c r="AV8" s="234">
        <f t="shared" si="7"/>
        <v>0</v>
      </c>
      <c r="AW8" s="234">
        <f t="shared" si="7"/>
        <v>0</v>
      </c>
      <c r="AX8" s="234">
        <f t="shared" si="7"/>
        <v>0</v>
      </c>
      <c r="AY8" s="234">
        <f t="shared" si="7"/>
        <v>0</v>
      </c>
      <c r="AZ8" s="234">
        <f t="shared" si="7"/>
        <v>0</v>
      </c>
      <c r="BA8" s="234">
        <f t="shared" si="7"/>
        <v>0</v>
      </c>
      <c r="BB8" s="234">
        <f t="shared" si="7"/>
        <v>0</v>
      </c>
      <c r="BC8" s="234">
        <f t="shared" si="7"/>
        <v>0</v>
      </c>
      <c r="BD8" s="234">
        <f t="shared" si="7"/>
        <v>0</v>
      </c>
      <c r="BE8" s="14"/>
    </row>
    <row r="9" spans="1:57" x14ac:dyDescent="0.2">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x14ac:dyDescent="0.2">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x14ac:dyDescent="0.2">
      <c r="A11" s="32" t="s">
        <v>27</v>
      </c>
      <c r="B11" s="32">
        <v>2014</v>
      </c>
      <c r="C11" s="32">
        <f>B11+1</f>
        <v>2015</v>
      </c>
      <c r="D11" s="32">
        <f t="shared" ref="D11:F11" si="8">C11+1</f>
        <v>2016</v>
      </c>
      <c r="E11" s="32">
        <f t="shared" si="8"/>
        <v>2017</v>
      </c>
      <c r="F11" s="32">
        <f t="shared" si="8"/>
        <v>2018</v>
      </c>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x14ac:dyDescent="0.2">
      <c r="A12" s="3" t="s">
        <v>227</v>
      </c>
      <c r="B12" s="14"/>
      <c r="C12" s="14">
        <f>G12/3</f>
        <v>9133333.333333334</v>
      </c>
      <c r="D12" s="14">
        <f>G12/3</f>
        <v>9133333.333333334</v>
      </c>
      <c r="E12" s="14">
        <f>G12/3</f>
        <v>9133333.333333334</v>
      </c>
      <c r="F12" s="14">
        <f t="shared" ref="F12" si="9">SUMIF($I$2:$BD$2,F11,$I$8:$BD$8)</f>
        <v>0</v>
      </c>
      <c r="G12" s="14">
        <f>C31</f>
        <v>27400000.000000004</v>
      </c>
      <c r="I12" s="309"/>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row>
    <row r="13" spans="1:57" ht="13.5" thickBot="1" x14ac:dyDescent="0.25">
      <c r="A13" s="3" t="s">
        <v>228</v>
      </c>
      <c r="B13" s="61">
        <v>0.15</v>
      </c>
      <c r="C13" s="61">
        <v>0.15</v>
      </c>
      <c r="D13" s="61">
        <v>0.15</v>
      </c>
      <c r="E13" s="61">
        <v>0.15</v>
      </c>
      <c r="F13" s="61">
        <v>0.15</v>
      </c>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row>
    <row r="14" spans="1:57" s="8" customFormat="1" ht="15.75" customHeight="1" thickBot="1" x14ac:dyDescent="0.25">
      <c r="A14" s="235" t="s">
        <v>97</v>
      </c>
      <c r="B14" s="236">
        <f>B12*(1-B13)</f>
        <v>0</v>
      </c>
      <c r="C14" s="236">
        <f t="shared" ref="C14:F14" si="10">C12*(1-C13)</f>
        <v>7763333.333333334</v>
      </c>
      <c r="D14" s="236">
        <f t="shared" si="10"/>
        <v>7763333.333333334</v>
      </c>
      <c r="E14" s="236">
        <f t="shared" si="10"/>
        <v>7763333.333333334</v>
      </c>
      <c r="F14" s="237">
        <f t="shared" si="10"/>
        <v>0</v>
      </c>
      <c r="G14" s="231">
        <f>SUM(C14:E14)</f>
        <v>23290000</v>
      </c>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c r="AZ14" s="231"/>
      <c r="BA14" s="231"/>
      <c r="BB14" s="231"/>
      <c r="BC14" s="231"/>
      <c r="BD14" s="231"/>
      <c r="BE14" s="231"/>
    </row>
    <row r="15" spans="1:57" s="8" customFormat="1" x14ac:dyDescent="0.2">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1"/>
      <c r="AP15" s="231"/>
      <c r="AQ15" s="231"/>
      <c r="AR15" s="231"/>
      <c r="AS15" s="231"/>
      <c r="AT15" s="231"/>
      <c r="AU15" s="231"/>
      <c r="AV15" s="231"/>
      <c r="AW15" s="231"/>
      <c r="AX15" s="231"/>
      <c r="AY15" s="231"/>
      <c r="AZ15" s="231"/>
      <c r="BA15" s="231"/>
      <c r="BB15" s="231"/>
      <c r="BC15" s="231"/>
      <c r="BD15" s="231"/>
      <c r="BE15" s="231"/>
    </row>
    <row r="16" spans="1:57" s="8" customFormat="1" x14ac:dyDescent="0.2">
      <c r="A16" s="185" t="s">
        <v>207</v>
      </c>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row>
    <row r="17" spans="1:57" s="8" customFormat="1" x14ac:dyDescent="0.2">
      <c r="A17" s="184"/>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row>
    <row r="18" spans="1:57" s="8" customFormat="1" x14ac:dyDescent="0.2">
      <c r="A18" s="184"/>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1"/>
    </row>
    <row r="19" spans="1:57" s="8" customFormat="1" x14ac:dyDescent="0.2">
      <c r="A19" s="184"/>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1"/>
      <c r="BA19" s="231"/>
      <c r="BB19" s="231"/>
      <c r="BC19" s="231"/>
      <c r="BD19" s="231"/>
      <c r="BE19" s="231"/>
    </row>
    <row r="20" spans="1:57" s="8" customFormat="1" x14ac:dyDescent="0.2">
      <c r="A20" s="8" t="s">
        <v>231</v>
      </c>
      <c r="B20" s="380" t="s">
        <v>372</v>
      </c>
      <c r="C20" s="380" t="s">
        <v>373</v>
      </c>
      <c r="D20" s="380" t="s">
        <v>215</v>
      </c>
    </row>
    <row r="21" spans="1:57" x14ac:dyDescent="0.2">
      <c r="A21" s="210" t="s">
        <v>363</v>
      </c>
      <c r="B21" s="381">
        <v>8.6</v>
      </c>
      <c r="C21" s="382">
        <f>B21</f>
        <v>8.6</v>
      </c>
      <c r="D21" s="382">
        <f>B21</f>
        <v>8.6</v>
      </c>
    </row>
    <row r="22" spans="1:57" x14ac:dyDescent="0.2">
      <c r="A22" s="184" t="s">
        <v>364</v>
      </c>
      <c r="B22" s="381">
        <v>4.8</v>
      </c>
      <c r="C22" s="382">
        <f t="shared" ref="C22:C29" si="11">B22</f>
        <v>4.8</v>
      </c>
      <c r="D22" s="382">
        <f t="shared" ref="D22:D25" si="12">B22</f>
        <v>4.8</v>
      </c>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row>
    <row r="23" spans="1:57" x14ac:dyDescent="0.2">
      <c r="A23" s="184" t="s">
        <v>365</v>
      </c>
      <c r="B23" s="381">
        <v>5.3</v>
      </c>
      <c r="C23" s="382">
        <f t="shared" si="11"/>
        <v>5.3</v>
      </c>
      <c r="D23" s="382">
        <f t="shared" si="12"/>
        <v>5.3</v>
      </c>
    </row>
    <row r="24" spans="1:57" x14ac:dyDescent="0.2">
      <c r="A24" s="184" t="s">
        <v>366</v>
      </c>
      <c r="B24" s="381">
        <v>2.6</v>
      </c>
      <c r="C24" s="382">
        <f t="shared" si="11"/>
        <v>2.6</v>
      </c>
      <c r="D24" s="382">
        <f t="shared" si="12"/>
        <v>2.6</v>
      </c>
      <c r="S24" s="232"/>
      <c r="AE24" s="232"/>
      <c r="AM24" s="232"/>
      <c r="AQ24" s="232"/>
      <c r="BD24" s="232"/>
    </row>
    <row r="25" spans="1:57" x14ac:dyDescent="0.2">
      <c r="A25" s="184" t="s">
        <v>367</v>
      </c>
      <c r="B25" s="381">
        <v>1.5</v>
      </c>
      <c r="C25" s="382">
        <f t="shared" si="11"/>
        <v>1.5</v>
      </c>
      <c r="D25" s="382">
        <f t="shared" si="12"/>
        <v>1.5</v>
      </c>
      <c r="AE25" s="232"/>
      <c r="AM25" s="232"/>
      <c r="AQ25" s="232"/>
      <c r="BD25" s="232"/>
    </row>
    <row r="26" spans="1:57" x14ac:dyDescent="0.2">
      <c r="A26" s="184" t="s">
        <v>368</v>
      </c>
      <c r="B26" s="383">
        <v>1.3</v>
      </c>
      <c r="C26" s="382">
        <f t="shared" si="11"/>
        <v>1.3</v>
      </c>
      <c r="D26" s="382">
        <v>0</v>
      </c>
    </row>
    <row r="27" spans="1:57" x14ac:dyDescent="0.2">
      <c r="A27" s="184" t="s">
        <v>369</v>
      </c>
      <c r="B27" s="383">
        <v>1.4</v>
      </c>
      <c r="C27" s="382">
        <v>0</v>
      </c>
      <c r="D27" s="382">
        <v>0</v>
      </c>
    </row>
    <row r="28" spans="1:57" x14ac:dyDescent="0.2">
      <c r="A28" s="184" t="s">
        <v>370</v>
      </c>
      <c r="B28" s="381">
        <v>1</v>
      </c>
      <c r="C28" s="382">
        <f t="shared" si="11"/>
        <v>1</v>
      </c>
      <c r="D28" s="382">
        <v>0</v>
      </c>
    </row>
    <row r="29" spans="1:57" x14ac:dyDescent="0.2">
      <c r="A29" s="184" t="s">
        <v>371</v>
      </c>
      <c r="B29" s="383">
        <v>2.2999999999999998</v>
      </c>
      <c r="C29" s="382">
        <f t="shared" si="11"/>
        <v>2.2999999999999998</v>
      </c>
      <c r="D29" s="382">
        <v>0</v>
      </c>
    </row>
    <row r="30" spans="1:57" x14ac:dyDescent="0.2">
      <c r="A30" s="184" t="s">
        <v>2</v>
      </c>
      <c r="B30" s="381">
        <f>SUM(B21:B29)</f>
        <v>28.8</v>
      </c>
      <c r="C30" s="382">
        <f>SUM(C21:C29)</f>
        <v>27.400000000000002</v>
      </c>
      <c r="D30" s="382">
        <f>SUM(D21:D29)</f>
        <v>22.8</v>
      </c>
    </row>
    <row r="31" spans="1:57" x14ac:dyDescent="0.2">
      <c r="A31" s="184" t="s">
        <v>374</v>
      </c>
      <c r="B31" s="379">
        <f>B30*10^6</f>
        <v>28800000</v>
      </c>
      <c r="C31" s="379">
        <f>C30*10^6</f>
        <v>27400000.000000004</v>
      </c>
      <c r="D31" s="379">
        <f>D30*10^6</f>
        <v>22800000</v>
      </c>
    </row>
    <row r="32" spans="1:57" x14ac:dyDescent="0.2">
      <c r="A32" s="184" t="s">
        <v>375</v>
      </c>
      <c r="B32" s="379"/>
      <c r="C32" s="377"/>
      <c r="D32" s="378">
        <f>D31*0.01</f>
        <v>228000</v>
      </c>
      <c r="E32" s="3" t="s">
        <v>376</v>
      </c>
    </row>
    <row r="33" spans="1:2" x14ac:dyDescent="0.2">
      <c r="A33" s="184"/>
      <c r="B33" s="186"/>
    </row>
    <row r="34" spans="1:2" x14ac:dyDescent="0.2">
      <c r="A34" s="183"/>
      <c r="B34" s="187"/>
    </row>
    <row r="35" spans="1:2" x14ac:dyDescent="0.2">
      <c r="A35" s="184"/>
      <c r="B35" s="186"/>
    </row>
    <row r="36" spans="1:2" x14ac:dyDescent="0.2">
      <c r="A36" s="210"/>
      <c r="B36" s="186"/>
    </row>
    <row r="37" spans="1:2" x14ac:dyDescent="0.2">
      <c r="A37" s="184"/>
      <c r="B37" s="186"/>
    </row>
    <row r="38" spans="1:2" x14ac:dyDescent="0.2">
      <c r="A38" s="184"/>
      <c r="B38" s="186"/>
    </row>
    <row r="39" spans="1:2" x14ac:dyDescent="0.2">
      <c r="A39" s="184"/>
      <c r="B39" s="186"/>
    </row>
    <row r="40" spans="1:2" x14ac:dyDescent="0.2">
      <c r="A40" s="184"/>
      <c r="B40" s="186"/>
    </row>
    <row r="41" spans="1:2" x14ac:dyDescent="0.2">
      <c r="A41" s="184"/>
      <c r="B41" s="186"/>
    </row>
    <row r="42" spans="1:2" x14ac:dyDescent="0.2">
      <c r="A42" s="184"/>
      <c r="B42" s="186"/>
    </row>
    <row r="43" spans="1:2" x14ac:dyDescent="0.2">
      <c r="A43" s="184"/>
      <c r="B43" s="186"/>
    </row>
    <row r="44" spans="1:2" x14ac:dyDescent="0.2">
      <c r="A44" s="184"/>
      <c r="B44" s="186"/>
    </row>
    <row r="45" spans="1:2" x14ac:dyDescent="0.2">
      <c r="A45" s="183"/>
      <c r="B45" s="187"/>
    </row>
    <row r="46" spans="1:2" x14ac:dyDescent="0.2">
      <c r="A46" s="210"/>
      <c r="B46" s="186"/>
    </row>
    <row r="47" spans="1:2" x14ac:dyDescent="0.2">
      <c r="A47" s="210"/>
      <c r="B47" s="186"/>
    </row>
    <row r="48" spans="1:2" x14ac:dyDescent="0.2">
      <c r="A48" s="184"/>
      <c r="B48" s="186"/>
    </row>
    <row r="49" spans="1:2" x14ac:dyDescent="0.2">
      <c r="A49" s="184"/>
      <c r="B49" s="186"/>
    </row>
    <row r="50" spans="1:2" x14ac:dyDescent="0.2">
      <c r="A50" s="184"/>
      <c r="B50" s="186"/>
    </row>
    <row r="51" spans="1:2" x14ac:dyDescent="0.2">
      <c r="A51" s="184"/>
      <c r="B51" s="186"/>
    </row>
    <row r="52" spans="1:2" x14ac:dyDescent="0.2">
      <c r="A52" s="184"/>
      <c r="B52" s="186"/>
    </row>
    <row r="53" spans="1:2" x14ac:dyDescent="0.2">
      <c r="A53" s="184"/>
      <c r="B53" s="186"/>
    </row>
    <row r="54" spans="1:2" x14ac:dyDescent="0.2">
      <c r="A54" s="184"/>
      <c r="B54" s="186"/>
    </row>
    <row r="55" spans="1:2" x14ac:dyDescent="0.2">
      <c r="A55" s="183"/>
      <c r="B55" s="187"/>
    </row>
    <row r="56" spans="1:2" x14ac:dyDescent="0.2">
      <c r="A56" s="210"/>
      <c r="B56" s="186"/>
    </row>
    <row r="57" spans="1:2" x14ac:dyDescent="0.2">
      <c r="A57" s="210"/>
      <c r="B57" s="186"/>
    </row>
    <row r="58" spans="1:2" x14ac:dyDescent="0.2">
      <c r="A58" s="210" t="s">
        <v>218</v>
      </c>
      <c r="B58" s="186">
        <f>SUM(B22:B24,B32)</f>
        <v>12.7</v>
      </c>
    </row>
    <row r="59" spans="1:2" x14ac:dyDescent="0.2">
      <c r="A59" s="210" t="s">
        <v>219</v>
      </c>
      <c r="B59" s="186">
        <f>B34-B58</f>
        <v>-12.7</v>
      </c>
    </row>
    <row r="60" spans="1:2" x14ac:dyDescent="0.2">
      <c r="A60" s="210" t="s">
        <v>216</v>
      </c>
      <c r="B60" s="186">
        <f>B45</f>
        <v>0</v>
      </c>
    </row>
    <row r="61" spans="1:2" x14ac:dyDescent="0.2">
      <c r="A61" s="210" t="s">
        <v>217</v>
      </c>
      <c r="B61" s="186">
        <f>B55</f>
        <v>0</v>
      </c>
    </row>
    <row r="63" spans="1:2" x14ac:dyDescent="0.2">
      <c r="A63" s="3" t="s">
        <v>232</v>
      </c>
    </row>
  </sheetData>
  <printOptions horizontalCentered="1"/>
  <pageMargins left="0.5" right="0.5" top="1" bottom="0.75" header="0.5" footer="0.5"/>
  <pageSetup scale="80" orientation="landscape" r:id="rId1"/>
  <headerFooter alignWithMargins="0">
    <oddHeader>&amp;L&amp;"Arial Narrow,Regular"&amp;12&amp;K000000&amp;D&amp;C&amp;"Arial Narrow,Bold"&amp;14&amp;K000000TIGER V - Ardmore TOD Cost Benefit Analysis</oddHeader>
    <oddFooter>&amp;C&amp;"Arial Narrow,Regular"&amp;12&amp;P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G60"/>
  <sheetViews>
    <sheetView topLeftCell="A10" zoomScaleNormal="100" workbookViewId="0">
      <selection activeCell="A41" sqref="A41:XFD41"/>
    </sheetView>
  </sheetViews>
  <sheetFormatPr defaultColWidth="11.42578125" defaultRowHeight="12.75" x14ac:dyDescent="0.2"/>
  <cols>
    <col min="1" max="1" width="44.28515625" style="3" bestFit="1" customWidth="1"/>
    <col min="2" max="2" width="9.85546875" style="3" hidden="1" customWidth="1"/>
    <col min="3" max="3" width="15.42578125" style="3" bestFit="1" customWidth="1"/>
    <col min="4" max="4" width="13.28515625" style="3" customWidth="1"/>
    <col min="5" max="16384" width="11.42578125" style="3"/>
  </cols>
  <sheetData>
    <row r="1" spans="1:7" x14ac:dyDescent="0.2">
      <c r="A1" s="8" t="s">
        <v>17</v>
      </c>
    </row>
    <row r="3" spans="1:7" x14ac:dyDescent="0.2">
      <c r="A3" s="122"/>
      <c r="B3" s="32"/>
      <c r="C3" s="32"/>
      <c r="F3" s="5"/>
      <c r="G3" s="5"/>
    </row>
    <row r="4" spans="1:7" x14ac:dyDescent="0.2">
      <c r="A4" s="248" t="s">
        <v>18</v>
      </c>
      <c r="B4" s="249" t="s">
        <v>25</v>
      </c>
      <c r="C4" s="250" t="s">
        <v>248</v>
      </c>
      <c r="D4" s="250" t="s">
        <v>26</v>
      </c>
      <c r="F4" s="5"/>
      <c r="G4" s="5"/>
    </row>
    <row r="5" spans="1:7" x14ac:dyDescent="0.2">
      <c r="A5" s="5" t="s">
        <v>189</v>
      </c>
      <c r="B5" s="5"/>
      <c r="C5" s="104">
        <f>VLOOKUP(A5,'40 Year Horizon'!$A$2:$L$13,11,FALSE)</f>
        <v>30200.634359999996</v>
      </c>
      <c r="D5" s="104">
        <f>C5</f>
        <v>30200.634359999996</v>
      </c>
      <c r="F5" s="5"/>
      <c r="G5" s="5"/>
    </row>
    <row r="6" spans="1:7" x14ac:dyDescent="0.2">
      <c r="A6" s="5" t="s">
        <v>141</v>
      </c>
      <c r="B6" s="5"/>
      <c r="C6" s="104">
        <f>VLOOKUP(A6,'40 Year Horizon'!$A$2:$L$13,11,FALSE)</f>
        <v>4941.0479602574305</v>
      </c>
      <c r="D6" s="104">
        <f>C6</f>
        <v>4941.0479602574305</v>
      </c>
      <c r="F6" s="5"/>
      <c r="G6" s="5"/>
    </row>
    <row r="7" spans="1:7" x14ac:dyDescent="0.2">
      <c r="A7" s="26" t="s">
        <v>19</v>
      </c>
      <c r="B7" s="27"/>
      <c r="C7" s="123">
        <f>SUM(C5:C6)</f>
        <v>35141.682320257431</v>
      </c>
      <c r="D7" s="123">
        <f>SUM(D5:D6)</f>
        <v>35141.682320257431</v>
      </c>
      <c r="F7" s="5"/>
      <c r="G7" s="5"/>
    </row>
    <row r="8" spans="1:7" x14ac:dyDescent="0.2">
      <c r="A8" s="124"/>
      <c r="C8" s="125"/>
      <c r="D8" s="125"/>
      <c r="F8" s="5"/>
      <c r="G8" s="5"/>
    </row>
    <row r="9" spans="1:7" x14ac:dyDescent="0.2">
      <c r="A9" s="122"/>
      <c r="C9" s="125"/>
      <c r="D9" s="125"/>
      <c r="F9" s="5"/>
      <c r="G9" s="5"/>
    </row>
    <row r="10" spans="1:7" x14ac:dyDescent="0.2">
      <c r="A10" s="248" t="s">
        <v>20</v>
      </c>
      <c r="B10" s="249" t="s">
        <v>25</v>
      </c>
      <c r="C10" s="250" t="s">
        <v>248</v>
      </c>
      <c r="D10" s="250" t="s">
        <v>26</v>
      </c>
      <c r="F10" s="5"/>
      <c r="G10" s="5"/>
    </row>
    <row r="11" spans="1:7" x14ac:dyDescent="0.2">
      <c r="A11" s="5" t="s">
        <v>188</v>
      </c>
      <c r="B11" s="5"/>
      <c r="C11" s="104">
        <f>VLOOKUP(A11,'40 Year Horizon'!$A$2:$L$13,11,FALSE)</f>
        <v>54964.705232432432</v>
      </c>
      <c r="D11" s="104">
        <f t="shared" ref="D11:D12" si="0">C11</f>
        <v>54964.705232432432</v>
      </c>
      <c r="F11" s="5"/>
      <c r="G11" s="5"/>
    </row>
    <row r="12" spans="1:7" x14ac:dyDescent="0.2">
      <c r="A12" s="5" t="s">
        <v>190</v>
      </c>
      <c r="B12" s="5"/>
      <c r="C12" s="104">
        <f>VLOOKUP(A12,'40 Year Horizon'!$A$2:$L$13,11,FALSE)</f>
        <v>87193.439892002731</v>
      </c>
      <c r="D12" s="104">
        <f t="shared" si="0"/>
        <v>87193.439892002731</v>
      </c>
      <c r="F12" s="5"/>
      <c r="G12" s="5"/>
    </row>
    <row r="13" spans="1:7" x14ac:dyDescent="0.2">
      <c r="A13" s="26" t="s">
        <v>19</v>
      </c>
      <c r="B13" s="126"/>
      <c r="C13" s="123">
        <f>SUM(C11:C12)</f>
        <v>142158.14512443516</v>
      </c>
      <c r="D13" s="123">
        <f>SUM(D11:D12)</f>
        <v>142158.14512443516</v>
      </c>
      <c r="G13" s="5"/>
    </row>
    <row r="14" spans="1:7" x14ac:dyDescent="0.2">
      <c r="A14" s="124"/>
      <c r="C14" s="125"/>
      <c r="D14" s="125"/>
      <c r="G14" s="5"/>
    </row>
    <row r="15" spans="1:7" x14ac:dyDescent="0.2">
      <c r="A15" s="122"/>
      <c r="C15" s="125"/>
      <c r="D15" s="125"/>
      <c r="G15" s="5"/>
    </row>
    <row r="16" spans="1:7" x14ac:dyDescent="0.2">
      <c r="A16" s="248" t="s">
        <v>379</v>
      </c>
      <c r="B16" s="249" t="s">
        <v>25</v>
      </c>
      <c r="C16" s="250" t="s">
        <v>248</v>
      </c>
      <c r="D16" s="250" t="s">
        <v>26</v>
      </c>
      <c r="F16" s="5"/>
      <c r="G16" s="5"/>
    </row>
    <row r="17" spans="1:7" s="8" customFormat="1" x14ac:dyDescent="0.2">
      <c r="A17" s="5" t="s">
        <v>21</v>
      </c>
      <c r="B17" s="127"/>
      <c r="C17" s="104">
        <f>VLOOKUP(A17,'40 Year Horizon'!$A$2:$L$13,11,FALSE)</f>
        <v>301140</v>
      </c>
      <c r="D17" s="104">
        <f>C17</f>
        <v>301140</v>
      </c>
      <c r="F17" s="5"/>
      <c r="G17" s="5"/>
    </row>
    <row r="18" spans="1:7" x14ac:dyDescent="0.2">
      <c r="A18" s="5" t="s">
        <v>326</v>
      </c>
      <c r="B18" s="127"/>
      <c r="C18" s="104">
        <f>VLOOKUP(A18,'40 Year Horizon'!$A$2:$L$13,11,FALSE)</f>
        <v>491397.45904816053</v>
      </c>
      <c r="D18" s="104">
        <f t="shared" ref="D18:D19" si="1">C18</f>
        <v>491397.45904816053</v>
      </c>
      <c r="F18" s="5"/>
      <c r="G18" s="5"/>
    </row>
    <row r="19" spans="1:7" x14ac:dyDescent="0.2">
      <c r="A19" s="5" t="s">
        <v>327</v>
      </c>
      <c r="B19" s="127"/>
      <c r="C19" s="104">
        <f>VLOOKUP(A19,'40 Year Horizon'!$A$2:$L$13,11,FALSE)</f>
        <v>364687.3789200001</v>
      </c>
      <c r="D19" s="104">
        <f t="shared" si="1"/>
        <v>364687.3789200001</v>
      </c>
      <c r="F19" s="5"/>
      <c r="G19" s="5"/>
    </row>
    <row r="20" spans="1:7" x14ac:dyDescent="0.2">
      <c r="A20" s="5" t="s">
        <v>100</v>
      </c>
      <c r="B20" s="127"/>
      <c r="C20" s="104">
        <f>VLOOKUP(A20,'40 Year Horizon'!$A$2:$L$13,11,FALSE)</f>
        <v>4333787.42</v>
      </c>
      <c r="D20" s="104">
        <v>0</v>
      </c>
      <c r="F20" s="5"/>
      <c r="G20" s="5"/>
    </row>
    <row r="21" spans="1:7" x14ac:dyDescent="0.2">
      <c r="A21" s="26" t="s">
        <v>19</v>
      </c>
      <c r="B21" s="126"/>
      <c r="C21" s="123">
        <f>SUM(C17:C20)</f>
        <v>5491012.2579681603</v>
      </c>
      <c r="D21" s="123">
        <f>SUM(D17:D20)</f>
        <v>1157224.8379681606</v>
      </c>
    </row>
    <row r="22" spans="1:7" x14ac:dyDescent="0.2">
      <c r="A22" s="124"/>
      <c r="C22" s="125"/>
      <c r="D22" s="125"/>
    </row>
    <row r="23" spans="1:7" x14ac:dyDescent="0.2">
      <c r="A23" s="122"/>
      <c r="C23" s="125"/>
      <c r="D23" s="125"/>
    </row>
    <row r="24" spans="1:7" x14ac:dyDescent="0.2">
      <c r="A24" s="248" t="s">
        <v>22</v>
      </c>
      <c r="B24" s="249" t="s">
        <v>25</v>
      </c>
      <c r="C24" s="250" t="s">
        <v>248</v>
      </c>
      <c r="D24" s="250" t="s">
        <v>26</v>
      </c>
    </row>
    <row r="25" spans="1:7" s="8" customFormat="1" x14ac:dyDescent="0.2">
      <c r="A25" s="5" t="s">
        <v>142</v>
      </c>
      <c r="B25" s="21"/>
      <c r="C25" s="104">
        <f>VLOOKUP(A25,'40 Year Horizon'!$A$2:$L$13,11,FALSE)</f>
        <v>41209.711066945398</v>
      </c>
      <c r="D25" s="104">
        <f>C25</f>
        <v>41209.711066945398</v>
      </c>
    </row>
    <row r="26" spans="1:7" s="8" customFormat="1" x14ac:dyDescent="0.2">
      <c r="A26" s="5" t="s">
        <v>328</v>
      </c>
      <c r="B26" s="21"/>
      <c r="C26" s="104">
        <f>VLOOKUP(A26,'40 Year Horizon'!$A$2:$L$13,11,FALSE)</f>
        <v>74728.191999999995</v>
      </c>
      <c r="D26" s="104">
        <f>C26</f>
        <v>74728.191999999995</v>
      </c>
    </row>
    <row r="27" spans="1:7" x14ac:dyDescent="0.2">
      <c r="A27" s="26" t="s">
        <v>19</v>
      </c>
      <c r="B27" s="126"/>
      <c r="C27" s="123">
        <f>C25</f>
        <v>41209.711066945398</v>
      </c>
      <c r="D27" s="123">
        <f>D25</f>
        <v>41209.711066945398</v>
      </c>
    </row>
    <row r="28" spans="1:7" x14ac:dyDescent="0.2">
      <c r="A28" s="124"/>
    </row>
    <row r="29" spans="1:7" x14ac:dyDescent="0.2">
      <c r="A29" s="122"/>
    </row>
    <row r="30" spans="1:7" x14ac:dyDescent="0.2">
      <c r="A30" s="248" t="s">
        <v>23</v>
      </c>
      <c r="B30" s="249" t="s">
        <v>25</v>
      </c>
      <c r="C30" s="250" t="s">
        <v>248</v>
      </c>
      <c r="D30" s="251" t="s">
        <v>26</v>
      </c>
    </row>
    <row r="31" spans="1:7" s="8" customFormat="1" x14ac:dyDescent="0.2">
      <c r="A31" s="5" t="s">
        <v>44</v>
      </c>
      <c r="B31" s="21"/>
      <c r="C31" s="23">
        <f>VLOOKUP(A31,'40 Year Horizon'!$A$2:$L$13,11,FALSE)</f>
        <v>456562.4007627723</v>
      </c>
      <c r="D31" s="104">
        <f>C31</f>
        <v>456562.4007627723</v>
      </c>
    </row>
    <row r="32" spans="1:7" x14ac:dyDescent="0.2">
      <c r="A32" s="5" t="s">
        <v>45</v>
      </c>
      <c r="B32" s="5"/>
      <c r="C32" s="23">
        <f>VLOOKUP(A32,'40 Year Horizon'!$A$2:$L$13,11,FALSE)</f>
        <v>152860.0508026928</v>
      </c>
      <c r="D32" s="104">
        <f>C32</f>
        <v>152860.0508026928</v>
      </c>
    </row>
    <row r="33" spans="1:6" s="8" customFormat="1" x14ac:dyDescent="0.2">
      <c r="A33" s="26" t="s">
        <v>19</v>
      </c>
      <c r="B33" s="27"/>
      <c r="C33" s="29">
        <f>SUM(C31:C32)</f>
        <v>609422.45156546507</v>
      </c>
      <c r="D33" s="29">
        <f>SUM(D31:D32)</f>
        <v>609422.45156546507</v>
      </c>
    </row>
    <row r="34" spans="1:6" s="8" customFormat="1" x14ac:dyDescent="0.2">
      <c r="A34" s="42"/>
      <c r="B34" s="42"/>
      <c r="C34" s="49"/>
      <c r="D34" s="49"/>
    </row>
    <row r="35" spans="1:6" s="8" customFormat="1" x14ac:dyDescent="0.2">
      <c r="D35" s="104"/>
    </row>
    <row r="36" spans="1:6" x14ac:dyDescent="0.2">
      <c r="A36" s="8"/>
      <c r="B36" s="8"/>
      <c r="C36" s="8"/>
      <c r="D36" s="104"/>
      <c r="E36" s="8"/>
      <c r="F36" s="8"/>
    </row>
    <row r="37" spans="1:6" x14ac:dyDescent="0.2">
      <c r="A37" s="248" t="s">
        <v>24</v>
      </c>
      <c r="B37" s="249" t="s">
        <v>25</v>
      </c>
      <c r="C37" s="252">
        <f>SUM(C7,C13,C21,C27,C33)</f>
        <v>6318944.2480452629</v>
      </c>
      <c r="D37" s="252">
        <f>SUM(D7,D13,D21,D27,D33)</f>
        <v>1985156.8280452639</v>
      </c>
      <c r="E37" s="8"/>
      <c r="F37" s="8"/>
    </row>
    <row r="39" spans="1:6" ht="14.25" customHeight="1" x14ac:dyDescent="0.2">
      <c r="A39" s="3" t="s">
        <v>176</v>
      </c>
    </row>
    <row r="40" spans="1:6" ht="14.25" customHeight="1" x14ac:dyDescent="0.2"/>
    <row r="43" spans="1:6" x14ac:dyDescent="0.2">
      <c r="A43" s="5"/>
    </row>
    <row r="44" spans="1:6" x14ac:dyDescent="0.2">
      <c r="A44" s="5"/>
    </row>
    <row r="45" spans="1:6" x14ac:dyDescent="0.2">
      <c r="A45" s="5"/>
    </row>
    <row r="54" spans="1:1" x14ac:dyDescent="0.2">
      <c r="A54" s="31"/>
    </row>
    <row r="55" spans="1:1" x14ac:dyDescent="0.2">
      <c r="A55" s="128"/>
    </row>
    <row r="56" spans="1:1" x14ac:dyDescent="0.2">
      <c r="A56" s="31"/>
    </row>
    <row r="57" spans="1:1" x14ac:dyDescent="0.2">
      <c r="A57" s="31"/>
    </row>
    <row r="58" spans="1:1" x14ac:dyDescent="0.2">
      <c r="A58" s="31"/>
    </row>
    <row r="59" spans="1:1" x14ac:dyDescent="0.2">
      <c r="A59" s="31"/>
    </row>
    <row r="60" spans="1:1" x14ac:dyDescent="0.2">
      <c r="A60" s="31"/>
    </row>
  </sheetData>
  <phoneticPr fontId="2" type="noConversion"/>
  <printOptions horizontalCentered="1"/>
  <pageMargins left="0.5" right="0.5" top="1" bottom="0.75" header="0.5" footer="0.5"/>
  <pageSetup scale="96" orientation="landscape" r:id="rId1"/>
  <headerFooter alignWithMargins="0">
    <oddHeader>&amp;L&amp;"Arial Narrow,Regular"&amp;12&amp;K000000&amp;D&amp;C&amp;"Arial Narrow,Bold"&amp;14&amp;K000000TIGER V - Ardmore TOD Cost Benefit Analysis</oddHeader>
    <oddFooter>&amp;L&amp;A&amp;C&amp;"Arial Narrow,Regular"&amp;12&amp;P of &amp;N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0"/>
  <sheetViews>
    <sheetView zoomScaleNormal="100" workbookViewId="0"/>
  </sheetViews>
  <sheetFormatPr defaultColWidth="12" defaultRowHeight="12.75" x14ac:dyDescent="0.2"/>
  <cols>
    <col min="1" max="16384" width="12" style="3"/>
  </cols>
  <sheetData>
    <row r="1" spans="1:16" ht="15.75" x14ac:dyDescent="0.25">
      <c r="A1" s="347" t="s">
        <v>179</v>
      </c>
    </row>
    <row r="3" spans="1:16" x14ac:dyDescent="0.2">
      <c r="A3" s="261" t="s">
        <v>27</v>
      </c>
      <c r="B3" s="260">
        <v>2000</v>
      </c>
      <c r="C3" s="260">
        <f t="shared" ref="C3:M3" si="0">B3+1</f>
        <v>2001</v>
      </c>
      <c r="D3" s="260">
        <f t="shared" si="0"/>
        <v>2002</v>
      </c>
      <c r="E3" s="260">
        <f t="shared" si="0"/>
        <v>2003</v>
      </c>
      <c r="F3" s="260">
        <f t="shared" si="0"/>
        <v>2004</v>
      </c>
      <c r="G3" s="260">
        <f t="shared" si="0"/>
        <v>2005</v>
      </c>
      <c r="H3" s="260">
        <f t="shared" si="0"/>
        <v>2006</v>
      </c>
      <c r="I3" s="260">
        <f t="shared" si="0"/>
        <v>2007</v>
      </c>
      <c r="J3" s="260">
        <f t="shared" si="0"/>
        <v>2008</v>
      </c>
      <c r="K3" s="260">
        <f t="shared" si="0"/>
        <v>2009</v>
      </c>
      <c r="L3" s="260">
        <f t="shared" si="0"/>
        <v>2010</v>
      </c>
      <c r="M3" s="260">
        <f t="shared" si="0"/>
        <v>2011</v>
      </c>
      <c r="N3" s="260">
        <v>2012</v>
      </c>
      <c r="O3" s="260">
        <v>2013</v>
      </c>
      <c r="P3" s="260">
        <v>2014</v>
      </c>
    </row>
    <row r="4" spans="1:16" x14ac:dyDescent="0.2">
      <c r="A4" s="3" t="s">
        <v>103</v>
      </c>
      <c r="B4" s="239">
        <f>VLOOKUP(B3,$A$10:$C$65,3,FALSE)</f>
        <v>82.6</v>
      </c>
      <c r="C4" s="239">
        <f>VLOOKUP(C3,$A$10:$C$65,3,FALSE)</f>
        <v>84.239000000000004</v>
      </c>
      <c r="D4" s="239">
        <f t="shared" ref="D4:O4" si="1">VLOOKUP(D3,$A$10:$C$65,3,FALSE)</f>
        <v>85.673000000000002</v>
      </c>
      <c r="E4" s="239">
        <f t="shared" si="1"/>
        <v>87.378</v>
      </c>
      <c r="F4" s="239">
        <f t="shared" si="1"/>
        <v>90.078000000000003</v>
      </c>
      <c r="G4" s="239">
        <f t="shared" si="1"/>
        <v>93.120999999999995</v>
      </c>
      <c r="H4" s="239">
        <f t="shared" si="1"/>
        <v>95.582999999999998</v>
      </c>
      <c r="I4" s="239">
        <f t="shared" si="1"/>
        <v>97.959000000000003</v>
      </c>
      <c r="J4" s="239">
        <f t="shared" si="1"/>
        <v>99.808000000000007</v>
      </c>
      <c r="K4" s="239">
        <f t="shared" si="1"/>
        <v>100.164</v>
      </c>
      <c r="L4" s="239">
        <f t="shared" si="1"/>
        <v>101.93600000000001</v>
      </c>
      <c r="M4" s="239">
        <f t="shared" si="1"/>
        <v>103.783</v>
      </c>
      <c r="N4" s="239">
        <f t="shared" si="1"/>
        <v>105.667</v>
      </c>
      <c r="O4" s="239">
        <f t="shared" si="1"/>
        <v>107.197</v>
      </c>
      <c r="P4" s="243">
        <f>O4*(1+((O4/K4-1)/4))</f>
        <v>109.07870525588037</v>
      </c>
    </row>
    <row r="5" spans="1:16" x14ac:dyDescent="0.2">
      <c r="B5" s="131">
        <f t="shared" ref="B5:K5" si="2">$P4/B4</f>
        <v>1.3205654389331765</v>
      </c>
      <c r="C5" s="131">
        <f t="shared" si="2"/>
        <v>1.2948717963874257</v>
      </c>
      <c r="D5" s="131">
        <f t="shared" si="2"/>
        <v>1.2731981517617028</v>
      </c>
      <c r="E5" s="131">
        <f t="shared" si="2"/>
        <v>1.2483543369713241</v>
      </c>
      <c r="F5" s="131">
        <f t="shared" si="2"/>
        <v>1.2109361359697191</v>
      </c>
      <c r="G5" s="131">
        <f t="shared" si="2"/>
        <v>1.1713652694438459</v>
      </c>
      <c r="H5" s="131">
        <f t="shared" si="2"/>
        <v>1.1411935726633435</v>
      </c>
      <c r="I5" s="131">
        <f t="shared" si="2"/>
        <v>1.1135138706589529</v>
      </c>
      <c r="J5" s="131">
        <f t="shared" si="2"/>
        <v>1.0928853925124273</v>
      </c>
      <c r="K5" s="131">
        <f t="shared" si="2"/>
        <v>1.089001090769941</v>
      </c>
      <c r="L5" s="131">
        <f>$P4/L4</f>
        <v>1.0700704879128116</v>
      </c>
      <c r="M5" s="131">
        <f t="shared" ref="M5:P5" si="3">$P4/M4</f>
        <v>1.0510267120422454</v>
      </c>
      <c r="N5" s="131">
        <f t="shared" si="3"/>
        <v>1.0322873295908881</v>
      </c>
      <c r="O5" s="131">
        <f t="shared" si="3"/>
        <v>1.0175537119124636</v>
      </c>
      <c r="P5" s="131">
        <f t="shared" si="3"/>
        <v>1</v>
      </c>
    </row>
    <row r="8" spans="1:16" x14ac:dyDescent="0.2">
      <c r="A8" s="3" t="s">
        <v>236</v>
      </c>
    </row>
    <row r="9" spans="1:16" x14ac:dyDescent="0.2">
      <c r="A9" s="240" t="s">
        <v>27</v>
      </c>
      <c r="B9" s="219" t="s">
        <v>234</v>
      </c>
      <c r="C9" s="219" t="s">
        <v>235</v>
      </c>
    </row>
    <row r="10" spans="1:16" ht="15" x14ac:dyDescent="0.2">
      <c r="A10" s="233"/>
      <c r="B10" s="238">
        <v>36526</v>
      </c>
      <c r="C10" s="3">
        <v>81.165000000000006</v>
      </c>
    </row>
    <row r="11" spans="1:16" ht="15" x14ac:dyDescent="0.2">
      <c r="A11" s="233"/>
      <c r="B11" s="238">
        <v>36617</v>
      </c>
      <c r="C11" s="3">
        <v>81.625</v>
      </c>
    </row>
    <row r="12" spans="1:16" ht="15" x14ac:dyDescent="0.2">
      <c r="A12" s="233"/>
      <c r="B12" s="238">
        <v>36708</v>
      </c>
      <c r="C12" s="3">
        <v>82.156000000000006</v>
      </c>
    </row>
    <row r="13" spans="1:16" ht="15" x14ac:dyDescent="0.2">
      <c r="A13" s="233">
        <v>2000</v>
      </c>
      <c r="B13" s="238">
        <v>36800</v>
      </c>
      <c r="C13" s="3">
        <v>82.6</v>
      </c>
    </row>
    <row r="14" spans="1:16" ht="15" x14ac:dyDescent="0.2">
      <c r="A14" s="233"/>
      <c r="B14" s="238">
        <v>36892</v>
      </c>
      <c r="C14" s="3">
        <v>83.131</v>
      </c>
    </row>
    <row r="15" spans="1:16" ht="15" x14ac:dyDescent="0.2">
      <c r="A15" s="233"/>
      <c r="B15" s="238">
        <v>36982</v>
      </c>
      <c r="C15" s="3">
        <v>83.707999999999998</v>
      </c>
    </row>
    <row r="16" spans="1:16" ht="15" x14ac:dyDescent="0.2">
      <c r="A16" s="233"/>
      <c r="B16" s="238">
        <v>37073</v>
      </c>
      <c r="C16" s="3">
        <v>83.984999999999999</v>
      </c>
    </row>
    <row r="17" spans="1:3" ht="15" x14ac:dyDescent="0.2">
      <c r="A17" s="233">
        <f>A13+1</f>
        <v>2001</v>
      </c>
      <c r="B17" s="238">
        <v>37165</v>
      </c>
      <c r="C17" s="3">
        <v>84.239000000000004</v>
      </c>
    </row>
    <row r="18" spans="1:3" ht="15" x14ac:dyDescent="0.2">
      <c r="A18" s="233"/>
      <c r="B18" s="238">
        <v>37257</v>
      </c>
      <c r="C18" s="3">
        <v>84.504000000000005</v>
      </c>
    </row>
    <row r="19" spans="1:3" ht="15" x14ac:dyDescent="0.2">
      <c r="A19" s="233"/>
      <c r="B19" s="238">
        <v>37347</v>
      </c>
      <c r="C19" s="3">
        <v>84.825999999999993</v>
      </c>
    </row>
    <row r="20" spans="1:3" ht="15" x14ac:dyDescent="0.2">
      <c r="A20" s="233"/>
      <c r="B20" s="238">
        <v>37438</v>
      </c>
      <c r="C20" s="3">
        <v>85.206000000000003</v>
      </c>
    </row>
    <row r="21" spans="1:3" ht="15" x14ac:dyDescent="0.2">
      <c r="A21" s="233">
        <f>A17+1</f>
        <v>2002</v>
      </c>
      <c r="B21" s="238">
        <v>37530</v>
      </c>
      <c r="C21" s="3">
        <v>85.673000000000002</v>
      </c>
    </row>
    <row r="22" spans="1:3" ht="15" x14ac:dyDescent="0.2">
      <c r="A22" s="233"/>
      <c r="B22" s="238">
        <v>37622</v>
      </c>
      <c r="C22" s="3">
        <v>86.200999999999993</v>
      </c>
    </row>
    <row r="23" spans="1:3" ht="15" x14ac:dyDescent="0.2">
      <c r="A23" s="233"/>
      <c r="B23" s="238">
        <v>37712</v>
      </c>
      <c r="C23" s="3">
        <v>86.462000000000003</v>
      </c>
    </row>
    <row r="24" spans="1:3" ht="15" x14ac:dyDescent="0.2">
      <c r="A24" s="233"/>
      <c r="B24" s="238">
        <v>37803</v>
      </c>
      <c r="C24" s="3">
        <v>86.947000000000003</v>
      </c>
    </row>
    <row r="25" spans="1:3" ht="15" x14ac:dyDescent="0.2">
      <c r="A25" s="233">
        <f>A21+1</f>
        <v>2003</v>
      </c>
      <c r="B25" s="238">
        <v>37895</v>
      </c>
      <c r="C25" s="3">
        <v>87.378</v>
      </c>
    </row>
    <row r="26" spans="1:3" ht="15" x14ac:dyDescent="0.2">
      <c r="A26" s="233"/>
      <c r="B26" s="238">
        <v>37987</v>
      </c>
      <c r="C26" s="3">
        <v>88.13</v>
      </c>
    </row>
    <row r="27" spans="1:3" ht="15" x14ac:dyDescent="0.2">
      <c r="A27" s="233"/>
      <c r="B27" s="238">
        <v>38078</v>
      </c>
      <c r="C27" s="3">
        <v>88.861000000000004</v>
      </c>
    </row>
    <row r="28" spans="1:3" ht="15" x14ac:dyDescent="0.2">
      <c r="A28" s="233"/>
      <c r="B28" s="238">
        <v>38169</v>
      </c>
      <c r="C28" s="3">
        <v>89.432000000000002</v>
      </c>
    </row>
    <row r="29" spans="1:3" ht="15" x14ac:dyDescent="0.2">
      <c r="A29" s="233">
        <f>A25+1</f>
        <v>2004</v>
      </c>
      <c r="B29" s="238">
        <v>38261</v>
      </c>
      <c r="C29" s="3">
        <v>90.078000000000003</v>
      </c>
    </row>
    <row r="30" spans="1:3" ht="15" x14ac:dyDescent="0.2">
      <c r="A30" s="233"/>
      <c r="B30" s="238">
        <v>38353</v>
      </c>
      <c r="C30" s="3">
        <v>90.893000000000001</v>
      </c>
    </row>
    <row r="31" spans="1:3" ht="15" x14ac:dyDescent="0.2">
      <c r="A31" s="233"/>
      <c r="B31" s="238">
        <v>38443</v>
      </c>
      <c r="C31" s="3">
        <v>91.525000000000006</v>
      </c>
    </row>
    <row r="32" spans="1:3" ht="15" x14ac:dyDescent="0.2">
      <c r="A32" s="233"/>
      <c r="B32" s="238">
        <v>38534</v>
      </c>
      <c r="C32" s="3">
        <v>92.4</v>
      </c>
    </row>
    <row r="33" spans="1:3" ht="15" x14ac:dyDescent="0.2">
      <c r="A33" s="233">
        <f>A29+1</f>
        <v>2005</v>
      </c>
      <c r="B33" s="238">
        <v>38626</v>
      </c>
      <c r="C33" s="3">
        <v>93.120999999999995</v>
      </c>
    </row>
    <row r="34" spans="1:3" ht="15" x14ac:dyDescent="0.2">
      <c r="A34" s="233"/>
      <c r="B34" s="238">
        <v>38718</v>
      </c>
      <c r="C34" s="3">
        <v>93.837000000000003</v>
      </c>
    </row>
    <row r="35" spans="1:3" ht="15" x14ac:dyDescent="0.2">
      <c r="A35" s="233"/>
      <c r="B35" s="238">
        <v>38808</v>
      </c>
      <c r="C35" s="3">
        <v>94.594999999999999</v>
      </c>
    </row>
    <row r="36" spans="1:3" ht="15" x14ac:dyDescent="0.2">
      <c r="A36" s="233"/>
      <c r="B36" s="238">
        <v>38899</v>
      </c>
      <c r="C36" s="3">
        <v>95.248999999999995</v>
      </c>
    </row>
    <row r="37" spans="1:3" ht="15" x14ac:dyDescent="0.2">
      <c r="A37" s="233">
        <f>A33+1</f>
        <v>2006</v>
      </c>
      <c r="B37" s="238">
        <v>38991</v>
      </c>
      <c r="C37" s="3">
        <v>95.582999999999998</v>
      </c>
    </row>
    <row r="38" spans="1:3" ht="15" x14ac:dyDescent="0.2">
      <c r="A38" s="233"/>
      <c r="B38" s="238">
        <v>39083</v>
      </c>
      <c r="C38" s="3">
        <v>96.652000000000001</v>
      </c>
    </row>
    <row r="39" spans="1:3" ht="15" x14ac:dyDescent="0.2">
      <c r="A39" s="233"/>
      <c r="B39" s="238">
        <v>39173</v>
      </c>
      <c r="C39" s="3">
        <v>97.19</v>
      </c>
    </row>
    <row r="40" spans="1:3" ht="15" x14ac:dyDescent="0.2">
      <c r="A40" s="233"/>
      <c r="B40" s="238">
        <v>39264</v>
      </c>
      <c r="C40" s="3">
        <v>97.525999999999996</v>
      </c>
    </row>
    <row r="41" spans="1:3" ht="15" x14ac:dyDescent="0.2">
      <c r="A41" s="233">
        <f>A37+1</f>
        <v>2007</v>
      </c>
      <c r="B41" s="238">
        <v>39356</v>
      </c>
      <c r="C41" s="3">
        <v>97.959000000000003</v>
      </c>
    </row>
    <row r="42" spans="1:3" ht="15" x14ac:dyDescent="0.2">
      <c r="A42" s="233"/>
      <c r="B42" s="238">
        <v>39448</v>
      </c>
      <c r="C42" s="3">
        <v>98.507000000000005</v>
      </c>
    </row>
    <row r="43" spans="1:3" ht="15" x14ac:dyDescent="0.2">
      <c r="A43" s="233"/>
      <c r="B43" s="238">
        <v>39539</v>
      </c>
      <c r="C43" s="3">
        <v>98.983999999999995</v>
      </c>
    </row>
    <row r="44" spans="1:3" ht="15" x14ac:dyDescent="0.2">
      <c r="A44" s="233"/>
      <c r="B44" s="238">
        <v>39630</v>
      </c>
      <c r="C44" s="3">
        <v>99.659000000000006</v>
      </c>
    </row>
    <row r="45" spans="1:3" ht="15" x14ac:dyDescent="0.2">
      <c r="A45" s="233">
        <f>A41+1</f>
        <v>2008</v>
      </c>
      <c r="B45" s="238">
        <v>39722</v>
      </c>
      <c r="C45" s="3">
        <v>99.808000000000007</v>
      </c>
    </row>
    <row r="46" spans="1:3" ht="15" x14ac:dyDescent="0.2">
      <c r="A46" s="233"/>
      <c r="B46" s="238">
        <v>39814</v>
      </c>
      <c r="C46" s="3">
        <v>100.06399999999999</v>
      </c>
    </row>
    <row r="47" spans="1:3" ht="15" x14ac:dyDescent="0.2">
      <c r="A47" s="233"/>
      <c r="B47" s="238">
        <v>39904</v>
      </c>
      <c r="C47" s="3">
        <v>99.897000000000006</v>
      </c>
    </row>
    <row r="48" spans="1:3" ht="15" x14ac:dyDescent="0.2">
      <c r="A48" s="233"/>
      <c r="B48" s="238">
        <v>39995</v>
      </c>
      <c r="C48" s="3">
        <v>99.873999999999995</v>
      </c>
    </row>
    <row r="49" spans="1:3" ht="15" x14ac:dyDescent="0.2">
      <c r="A49" s="233">
        <f>A45+1</f>
        <v>2009</v>
      </c>
      <c r="B49" s="238">
        <v>40087</v>
      </c>
      <c r="C49" s="3">
        <v>100.164</v>
      </c>
    </row>
    <row r="50" spans="1:3" ht="15" x14ac:dyDescent="0.2">
      <c r="A50" s="233"/>
      <c r="B50" s="238">
        <v>40179</v>
      </c>
      <c r="C50" s="3">
        <v>100.51300000000001</v>
      </c>
    </row>
    <row r="51" spans="1:3" ht="15" x14ac:dyDescent="0.2">
      <c r="A51" s="233"/>
      <c r="B51" s="238">
        <v>40269</v>
      </c>
      <c r="C51" s="3">
        <v>100.958</v>
      </c>
    </row>
    <row r="52" spans="1:3" ht="15" x14ac:dyDescent="0.2">
      <c r="A52" s="233"/>
      <c r="B52" s="238">
        <v>40360</v>
      </c>
      <c r="C52" s="3">
        <v>101.41800000000001</v>
      </c>
    </row>
    <row r="53" spans="1:3" ht="15" x14ac:dyDescent="0.2">
      <c r="A53" s="233">
        <f>A49+1</f>
        <v>2010</v>
      </c>
      <c r="B53" s="238">
        <v>40452</v>
      </c>
      <c r="C53" s="3">
        <v>101.93600000000001</v>
      </c>
    </row>
    <row r="54" spans="1:3" ht="15" x14ac:dyDescent="0.2">
      <c r="A54" s="233"/>
      <c r="B54" s="238">
        <v>40544</v>
      </c>
      <c r="C54" s="3">
        <v>102.343</v>
      </c>
    </row>
    <row r="55" spans="1:3" ht="15" x14ac:dyDescent="0.2">
      <c r="A55" s="233"/>
      <c r="B55" s="238">
        <v>40634</v>
      </c>
      <c r="C55" s="3">
        <v>103.002</v>
      </c>
    </row>
    <row r="56" spans="1:3" ht="15" x14ac:dyDescent="0.2">
      <c r="A56" s="233"/>
      <c r="B56" s="238">
        <v>40725</v>
      </c>
      <c r="C56" s="3">
        <v>103.65</v>
      </c>
    </row>
    <row r="57" spans="1:3" ht="15" x14ac:dyDescent="0.2">
      <c r="A57" s="233">
        <f>A53+1</f>
        <v>2011</v>
      </c>
      <c r="B57" s="238">
        <v>40817</v>
      </c>
      <c r="C57" s="3">
        <v>103.783</v>
      </c>
    </row>
    <row r="58" spans="1:3" ht="15" x14ac:dyDescent="0.2">
      <c r="A58" s="233"/>
      <c r="B58" s="238">
        <v>40909</v>
      </c>
      <c r="C58" s="3">
        <v>104.291</v>
      </c>
    </row>
    <row r="59" spans="1:3" ht="15" x14ac:dyDescent="0.2">
      <c r="A59" s="233"/>
      <c r="B59" s="238">
        <v>41000</v>
      </c>
      <c r="C59" s="3">
        <v>104.75</v>
      </c>
    </row>
    <row r="60" spans="1:3" ht="15" x14ac:dyDescent="0.2">
      <c r="A60" s="233"/>
      <c r="B60" s="238">
        <v>41091</v>
      </c>
      <c r="C60" s="3">
        <v>105.292</v>
      </c>
    </row>
    <row r="61" spans="1:3" ht="15" x14ac:dyDescent="0.2">
      <c r="A61" s="233">
        <f>A57+1</f>
        <v>2012</v>
      </c>
      <c r="B61" s="238">
        <v>41183</v>
      </c>
      <c r="C61" s="3">
        <v>105.667</v>
      </c>
    </row>
    <row r="62" spans="1:3" ht="15" x14ac:dyDescent="0.2">
      <c r="A62" s="233"/>
      <c r="B62" s="238">
        <v>41275</v>
      </c>
      <c r="C62" s="3">
        <v>106.105</v>
      </c>
    </row>
    <row r="63" spans="1:3" ht="15" x14ac:dyDescent="0.2">
      <c r="A63" s="233"/>
      <c r="B63" s="238">
        <v>41365</v>
      </c>
      <c r="C63" s="3">
        <v>106.259</v>
      </c>
    </row>
    <row r="64" spans="1:3" ht="15" x14ac:dyDescent="0.2">
      <c r="A64" s="233"/>
      <c r="B64" s="238">
        <v>41456</v>
      </c>
      <c r="C64" s="3">
        <v>106.77800000000001</v>
      </c>
    </row>
    <row r="65" spans="1:3" ht="15" x14ac:dyDescent="0.2">
      <c r="A65" s="233">
        <f>A61+1</f>
        <v>2013</v>
      </c>
      <c r="B65" s="238">
        <v>41548</v>
      </c>
      <c r="C65" s="3">
        <v>107.197</v>
      </c>
    </row>
    <row r="66" spans="1:3" x14ac:dyDescent="0.2">
      <c r="A66" s="233"/>
    </row>
    <row r="67" spans="1:3" x14ac:dyDescent="0.2">
      <c r="A67" s="233"/>
    </row>
    <row r="68" spans="1:3" x14ac:dyDescent="0.2">
      <c r="A68" s="233"/>
    </row>
    <row r="69" spans="1:3" x14ac:dyDescent="0.2">
      <c r="A69" s="233"/>
    </row>
    <row r="70" spans="1:3" x14ac:dyDescent="0.2">
      <c r="A70" s="233"/>
    </row>
    <row r="71" spans="1:3" x14ac:dyDescent="0.2">
      <c r="A71" s="233"/>
    </row>
    <row r="72" spans="1:3" x14ac:dyDescent="0.2">
      <c r="A72" s="233"/>
    </row>
    <row r="73" spans="1:3" x14ac:dyDescent="0.2">
      <c r="A73" s="233"/>
    </row>
    <row r="74" spans="1:3" x14ac:dyDescent="0.2">
      <c r="A74" s="233"/>
    </row>
    <row r="75" spans="1:3" x14ac:dyDescent="0.2">
      <c r="A75" s="233"/>
    </row>
    <row r="76" spans="1:3" x14ac:dyDescent="0.2">
      <c r="A76" s="233"/>
    </row>
    <row r="77" spans="1:3" x14ac:dyDescent="0.2">
      <c r="A77" s="233"/>
    </row>
    <row r="78" spans="1:3" x14ac:dyDescent="0.2">
      <c r="A78" s="233"/>
    </row>
    <row r="79" spans="1:3" x14ac:dyDescent="0.2">
      <c r="A79" s="233"/>
    </row>
    <row r="80" spans="1:3" x14ac:dyDescent="0.2">
      <c r="A80" s="233"/>
    </row>
    <row r="81" spans="1:1" x14ac:dyDescent="0.2">
      <c r="A81" s="233"/>
    </row>
    <row r="82" spans="1:1" x14ac:dyDescent="0.2">
      <c r="A82" s="233"/>
    </row>
    <row r="83" spans="1:1" x14ac:dyDescent="0.2">
      <c r="A83" s="233"/>
    </row>
    <row r="84" spans="1:1" x14ac:dyDescent="0.2">
      <c r="A84" s="233"/>
    </row>
    <row r="85" spans="1:1" x14ac:dyDescent="0.2">
      <c r="A85" s="233"/>
    </row>
    <row r="86" spans="1:1" x14ac:dyDescent="0.2">
      <c r="A86" s="233"/>
    </row>
    <row r="87" spans="1:1" x14ac:dyDescent="0.2">
      <c r="A87" s="233"/>
    </row>
    <row r="88" spans="1:1" x14ac:dyDescent="0.2">
      <c r="A88" s="233"/>
    </row>
    <row r="89" spans="1:1" x14ac:dyDescent="0.2">
      <c r="A89" s="233"/>
    </row>
    <row r="90" spans="1:1" x14ac:dyDescent="0.2">
      <c r="A90" s="233"/>
    </row>
  </sheetData>
  <phoneticPr fontId="2" type="noConversion"/>
  <printOptions horizontalCentered="1"/>
  <pageMargins left="0.5" right="0.5" top="1" bottom="0.75" header="0.5" footer="0.5"/>
  <pageSetup scale="72" orientation="landscape" r:id="rId1"/>
  <headerFooter alignWithMargins="0">
    <oddHeader>&amp;L&amp;"Arial Narrow,Regular"&amp;12&amp;K000000&amp;D&amp;C&amp;"Arial Narrow,Bold"&amp;14&amp;K000000TIGER V - Ardmore TOD Cost Benefit Analysis</oddHeader>
    <oddFooter>&amp;L&amp;A&amp;C&amp;"Arial Narrow,Regular"&amp;12&amp;P of &amp;N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IV54"/>
  <sheetViews>
    <sheetView zoomScaleNormal="100" workbookViewId="0">
      <selection activeCell="B7" sqref="B7"/>
    </sheetView>
  </sheetViews>
  <sheetFormatPr defaultColWidth="8.85546875" defaultRowHeight="12.75" x14ac:dyDescent="0.2"/>
  <cols>
    <col min="1" max="1" width="40" style="3" customWidth="1"/>
    <col min="2" max="2" width="13.42578125" style="3" customWidth="1"/>
    <col min="3" max="3" width="20.28515625" style="3" customWidth="1"/>
    <col min="4" max="4" width="20.85546875" style="3" customWidth="1"/>
    <col min="5" max="5" width="21.140625" style="3" customWidth="1"/>
    <col min="6" max="6" width="10" style="3" customWidth="1"/>
    <col min="7" max="7" width="8.85546875" style="3"/>
    <col min="8" max="8" width="14.140625" style="3" bestFit="1" customWidth="1"/>
    <col min="9" max="13" width="8.85546875" style="3"/>
    <col min="14" max="14" width="12.140625" style="3" customWidth="1"/>
    <col min="15" max="16384" width="8.85546875" style="3"/>
  </cols>
  <sheetData>
    <row r="1" spans="1:10" ht="18" x14ac:dyDescent="0.25">
      <c r="A1" s="295" t="s">
        <v>79</v>
      </c>
      <c r="B1" s="5"/>
    </row>
    <row r="2" spans="1:10" x14ac:dyDescent="0.2">
      <c r="A2" s="5"/>
      <c r="B2" s="5"/>
    </row>
    <row r="3" spans="1:10" ht="15.75" x14ac:dyDescent="0.25">
      <c r="A3" s="292" t="s">
        <v>260</v>
      </c>
      <c r="B3" s="5"/>
    </row>
    <row r="4" spans="1:10" x14ac:dyDescent="0.2">
      <c r="A4" s="21"/>
      <c r="B4" s="5"/>
    </row>
    <row r="5" spans="1:10" x14ac:dyDescent="0.2">
      <c r="A5" s="262" t="s">
        <v>0</v>
      </c>
      <c r="B5" s="263" t="s">
        <v>1</v>
      </c>
      <c r="C5" s="264" t="s">
        <v>108</v>
      </c>
      <c r="D5" s="265"/>
      <c r="E5" s="265"/>
      <c r="F5" s="265"/>
      <c r="G5" s="265"/>
      <c r="H5" s="265"/>
      <c r="I5" s="265"/>
      <c r="J5" s="266"/>
    </row>
    <row r="6" spans="1:10" x14ac:dyDescent="0.2">
      <c r="A6" s="4" t="s">
        <v>259</v>
      </c>
      <c r="B6" s="84">
        <f>(E41+E50)*2</f>
        <v>8434.4000000000015</v>
      </c>
      <c r="C6" s="197" t="s">
        <v>160</v>
      </c>
      <c r="D6" s="198"/>
      <c r="E6" s="198"/>
      <c r="F6" s="198"/>
      <c r="G6" s="198"/>
      <c r="H6" s="198"/>
      <c r="I6" s="198"/>
      <c r="J6" s="199"/>
    </row>
    <row r="7" spans="1:10" ht="15" x14ac:dyDescent="0.2">
      <c r="A7" s="4" t="s">
        <v>105</v>
      </c>
      <c r="B7" s="5">
        <v>65.699999999999989</v>
      </c>
      <c r="C7" s="200" t="s">
        <v>354</v>
      </c>
      <c r="D7" s="191"/>
      <c r="E7" s="191"/>
      <c r="F7" s="191"/>
      <c r="G7" s="191"/>
      <c r="H7" s="191"/>
      <c r="I7" s="191"/>
      <c r="J7" s="201"/>
    </row>
    <row r="8" spans="1:10" x14ac:dyDescent="0.2">
      <c r="A8" s="26" t="s">
        <v>47</v>
      </c>
      <c r="B8" s="47">
        <f>B6*B7</f>
        <v>554140.07999999996</v>
      </c>
      <c r="C8" s="354"/>
      <c r="D8" s="355"/>
      <c r="E8" s="355"/>
      <c r="F8" s="355"/>
      <c r="G8" s="355"/>
      <c r="H8" s="355"/>
      <c r="I8" s="355"/>
      <c r="J8" s="355"/>
    </row>
    <row r="10" spans="1:10" x14ac:dyDescent="0.2">
      <c r="B10" s="40"/>
      <c r="C10" s="41"/>
      <c r="D10" s="41"/>
      <c r="E10" s="41"/>
    </row>
    <row r="11" spans="1:10" ht="15.75" x14ac:dyDescent="0.25">
      <c r="A11" s="297" t="s">
        <v>80</v>
      </c>
      <c r="B11" s="40"/>
      <c r="C11" s="41"/>
      <c r="D11" s="41"/>
      <c r="E11" s="41"/>
    </row>
    <row r="12" spans="1:10" ht="15.75" x14ac:dyDescent="0.25">
      <c r="A12" s="297"/>
      <c r="B12" s="40"/>
      <c r="C12" s="41"/>
      <c r="D12" s="41"/>
      <c r="E12" s="41"/>
    </row>
    <row r="13" spans="1:10" ht="27.75" x14ac:dyDescent="0.2">
      <c r="A13" s="262" t="s">
        <v>0</v>
      </c>
      <c r="B13" s="267" t="s">
        <v>106</v>
      </c>
      <c r="C13" s="268" t="s">
        <v>77</v>
      </c>
      <c r="D13" s="268" t="s">
        <v>78</v>
      </c>
      <c r="E13" s="268" t="s">
        <v>211</v>
      </c>
      <c r="F13" s="269" t="s">
        <v>63</v>
      </c>
    </row>
    <row r="14" spans="1:10" ht="13.5" thickBot="1" x14ac:dyDescent="0.25">
      <c r="A14" s="43" t="s">
        <v>156</v>
      </c>
      <c r="B14" s="277">
        <v>37</v>
      </c>
      <c r="C14" s="39">
        <f>B8</f>
        <v>554140.07999999996</v>
      </c>
      <c r="D14" s="39">
        <f>C14/B14</f>
        <v>14976.758918918918</v>
      </c>
      <c r="E14" s="44">
        <v>3.67</v>
      </c>
      <c r="F14" s="45">
        <f>D14*E14</f>
        <v>54964.705232432432</v>
      </c>
    </row>
    <row r="15" spans="1:10" ht="13.5" thickBot="1" x14ac:dyDescent="0.25">
      <c r="A15" s="43"/>
      <c r="B15" s="277"/>
      <c r="C15" s="39"/>
      <c r="D15" s="39"/>
      <c r="E15" s="44"/>
      <c r="F15" s="45"/>
    </row>
    <row r="16" spans="1:10" ht="13.5" thickBot="1" x14ac:dyDescent="0.25">
      <c r="A16" s="26" t="s">
        <v>2</v>
      </c>
      <c r="B16" s="46"/>
      <c r="C16" s="47">
        <f>SUM(C14:C15)</f>
        <v>554140.07999999996</v>
      </c>
      <c r="D16" s="47">
        <f>SUM(D14:D15)</f>
        <v>14976.758918918918</v>
      </c>
      <c r="E16" s="47"/>
      <c r="F16" s="241">
        <f>SUM(F14:F15)</f>
        <v>54964.705232432432</v>
      </c>
    </row>
    <row r="17" spans="1:256" x14ac:dyDescent="0.2">
      <c r="A17" s="42"/>
      <c r="B17" s="40"/>
      <c r="C17" s="48"/>
      <c r="D17" s="48"/>
      <c r="E17" s="49"/>
    </row>
    <row r="18" spans="1:256" x14ac:dyDescent="0.2">
      <c r="A18" s="31"/>
      <c r="B18" s="40"/>
      <c r="C18" s="41"/>
      <c r="D18" s="41"/>
      <c r="E18" s="41"/>
    </row>
    <row r="19" spans="1:256" ht="16.5" x14ac:dyDescent="0.3">
      <c r="A19" s="350" t="s">
        <v>81</v>
      </c>
      <c r="B19" s="40"/>
      <c r="C19" s="41"/>
      <c r="D19" s="41"/>
      <c r="E19" s="41"/>
    </row>
    <row r="20" spans="1:256" x14ac:dyDescent="0.2">
      <c r="A20" s="31"/>
      <c r="B20" s="40"/>
      <c r="C20" s="41"/>
      <c r="D20" s="41"/>
      <c r="E20" s="41"/>
    </row>
    <row r="21" spans="1:256" ht="40.5" x14ac:dyDescent="0.2">
      <c r="A21" s="271" t="s">
        <v>0</v>
      </c>
      <c r="B21" s="272" t="s">
        <v>107</v>
      </c>
      <c r="C21" s="273" t="s">
        <v>77</v>
      </c>
      <c r="D21" s="273" t="s">
        <v>65</v>
      </c>
      <c r="E21" s="86"/>
      <c r="F21" s="270" t="s">
        <v>93</v>
      </c>
      <c r="G21" s="269" t="s">
        <v>94</v>
      </c>
      <c r="H21" s="264" t="s">
        <v>108</v>
      </c>
      <c r="I21" s="4"/>
      <c r="K21" s="134"/>
      <c r="L21" s="134"/>
      <c r="M21" s="134"/>
      <c r="N21" s="134"/>
      <c r="O21" s="134"/>
      <c r="P21" s="134"/>
      <c r="Q21" s="134"/>
      <c r="R21" s="134"/>
      <c r="S21" s="134"/>
      <c r="T21" s="134"/>
      <c r="U21" s="134"/>
      <c r="V21" s="134"/>
    </row>
    <row r="22" spans="1:256" ht="15" customHeight="1" thickBot="1" x14ac:dyDescent="0.25">
      <c r="A22" s="43" t="s">
        <v>64</v>
      </c>
      <c r="B22" s="85">
        <f>G24</f>
        <v>5.45E-2</v>
      </c>
      <c r="C22" s="39">
        <f>C14</f>
        <v>554140.07999999996</v>
      </c>
      <c r="D22" s="51">
        <f>C22*B22</f>
        <v>30200.634359999996</v>
      </c>
      <c r="E22" s="41"/>
      <c r="F22" s="52" t="s">
        <v>90</v>
      </c>
      <c r="G22" s="132">
        <v>4.3200000000000002E-2</v>
      </c>
      <c r="H22" s="202" t="s">
        <v>194</v>
      </c>
      <c r="I22" s="4"/>
      <c r="K22" s="204"/>
      <c r="L22" s="204"/>
      <c r="M22" s="204"/>
      <c r="N22" s="204"/>
      <c r="O22" s="204"/>
      <c r="P22" s="204"/>
      <c r="Q22" s="204"/>
      <c r="R22" s="204"/>
      <c r="S22" s="204"/>
      <c r="T22" s="204"/>
      <c r="U22" s="204"/>
      <c r="V22" s="204"/>
    </row>
    <row r="23" spans="1:256" ht="15" customHeight="1" thickBot="1" x14ac:dyDescent="0.25">
      <c r="A23" s="43"/>
      <c r="B23" s="85"/>
      <c r="C23" s="39"/>
      <c r="D23" s="51"/>
      <c r="E23" s="41"/>
      <c r="F23" s="52" t="s">
        <v>91</v>
      </c>
      <c r="G23" s="132">
        <v>1.1299999999999999E-2</v>
      </c>
      <c r="H23" s="203" t="s">
        <v>195</v>
      </c>
      <c r="I23" s="4"/>
      <c r="K23" s="204"/>
      <c r="L23" s="204"/>
      <c r="M23" s="204"/>
      <c r="N23" s="204"/>
      <c r="O23" s="204"/>
      <c r="P23" s="204"/>
      <c r="Q23" s="204"/>
      <c r="R23" s="204"/>
      <c r="S23" s="204"/>
      <c r="T23" s="204"/>
      <c r="U23" s="204"/>
      <c r="V23" s="204"/>
    </row>
    <row r="24" spans="1:256" ht="13.5" thickBot="1" x14ac:dyDescent="0.25">
      <c r="A24" s="26" t="s">
        <v>2</v>
      </c>
      <c r="B24" s="46"/>
      <c r="C24" s="47">
        <f>SUM(C22:C23)</f>
        <v>554140.07999999996</v>
      </c>
      <c r="D24" s="242">
        <f>SUM(D22:D23)</f>
        <v>30200.634359999996</v>
      </c>
      <c r="E24" s="41"/>
      <c r="F24" s="53" t="s">
        <v>24</v>
      </c>
      <c r="G24" s="54">
        <f>G22+G23</f>
        <v>5.45E-2</v>
      </c>
      <c r="K24" s="31"/>
      <c r="L24" s="31"/>
      <c r="M24" s="31"/>
      <c r="N24" s="31"/>
      <c r="O24" s="31"/>
      <c r="P24" s="31"/>
      <c r="Q24" s="31"/>
      <c r="R24" s="31"/>
      <c r="S24" s="31"/>
      <c r="T24" s="31"/>
      <c r="U24" s="31"/>
      <c r="V24" s="31"/>
    </row>
    <row r="27" spans="1:256" s="5" customFormat="1" x14ac:dyDescent="0.2"/>
    <row r="28" spans="1:256" s="5" customFormat="1" x14ac:dyDescent="0.2"/>
    <row r="29" spans="1:256" s="5" customFormat="1" x14ac:dyDescent="0.2"/>
    <row r="30" spans="1:256" ht="15.75" x14ac:dyDescent="0.25">
      <c r="A30" s="297" t="s">
        <v>3</v>
      </c>
    </row>
    <row r="31" spans="1:256" ht="15" x14ac:dyDescent="0.2">
      <c r="A31" s="356" t="s">
        <v>212</v>
      </c>
      <c r="B31" s="356"/>
      <c r="C31" s="356"/>
      <c r="D31" s="356"/>
      <c r="E31" s="356"/>
      <c r="F31" s="356"/>
      <c r="G31" s="356"/>
      <c r="H31" s="356"/>
      <c r="I31" s="356"/>
      <c r="J31" s="356"/>
      <c r="K31" s="55"/>
      <c r="L31" s="55"/>
      <c r="M31" s="56"/>
      <c r="N31" s="55"/>
      <c r="O31" s="55"/>
      <c r="P31" s="55"/>
      <c r="Q31" s="56"/>
      <c r="R31" s="55"/>
      <c r="S31" s="55"/>
      <c r="T31" s="55"/>
      <c r="U31" s="56"/>
      <c r="V31" s="55"/>
      <c r="W31" s="55"/>
      <c r="X31" s="55"/>
      <c r="Y31" s="56"/>
      <c r="Z31" s="55"/>
      <c r="AA31" s="55"/>
      <c r="AB31" s="55"/>
      <c r="AC31" s="56"/>
      <c r="AD31" s="55"/>
      <c r="AE31" s="55"/>
      <c r="AF31" s="55"/>
      <c r="AG31" s="56"/>
      <c r="AH31" s="55"/>
      <c r="AI31" s="55"/>
      <c r="AJ31" s="55"/>
      <c r="AK31" s="56"/>
      <c r="AL31" s="55"/>
      <c r="AM31" s="55"/>
      <c r="AN31" s="55"/>
      <c r="AO31" s="56"/>
      <c r="AP31" s="55"/>
      <c r="AQ31" s="55"/>
      <c r="AR31" s="55"/>
      <c r="AS31" s="56"/>
      <c r="AT31" s="55"/>
      <c r="AU31" s="55"/>
      <c r="AV31" s="55"/>
      <c r="AW31" s="56"/>
      <c r="AX31" s="55"/>
      <c r="AY31" s="55"/>
      <c r="AZ31" s="55"/>
      <c r="BA31" s="56"/>
      <c r="BB31" s="55"/>
      <c r="BC31" s="55"/>
      <c r="BD31" s="55"/>
      <c r="BE31" s="56"/>
      <c r="BF31" s="55"/>
      <c r="BG31" s="55"/>
      <c r="BH31" s="55"/>
      <c r="BI31" s="56"/>
      <c r="BJ31" s="55"/>
      <c r="BK31" s="55"/>
      <c r="BL31" s="55"/>
      <c r="BM31" s="56"/>
      <c r="BN31" s="55"/>
      <c r="BO31" s="55"/>
      <c r="BP31" s="55"/>
      <c r="BQ31" s="56"/>
      <c r="BR31" s="55"/>
      <c r="BS31" s="55"/>
      <c r="BT31" s="55"/>
      <c r="BU31" s="56"/>
      <c r="BV31" s="55"/>
      <c r="BW31" s="55"/>
      <c r="BX31" s="55"/>
      <c r="BY31" s="56"/>
      <c r="BZ31" s="55"/>
      <c r="CA31" s="55"/>
      <c r="CB31" s="55"/>
      <c r="CC31" s="56"/>
      <c r="CD31" s="55"/>
      <c r="CE31" s="55"/>
      <c r="CF31" s="55"/>
      <c r="CG31" s="56"/>
      <c r="CH31" s="55"/>
      <c r="CI31" s="55"/>
      <c r="CJ31" s="55"/>
      <c r="CK31" s="56"/>
      <c r="CL31" s="55"/>
      <c r="CM31" s="55"/>
      <c r="CN31" s="55"/>
      <c r="CO31" s="56"/>
      <c r="CP31" s="55"/>
      <c r="CQ31" s="55"/>
      <c r="CR31" s="55"/>
      <c r="CS31" s="56"/>
      <c r="CT31" s="55"/>
      <c r="CU31" s="55"/>
      <c r="CV31" s="55"/>
      <c r="CW31" s="56"/>
      <c r="CX31" s="55"/>
      <c r="CY31" s="55"/>
      <c r="CZ31" s="55"/>
      <c r="DA31" s="56"/>
      <c r="DB31" s="55"/>
      <c r="DC31" s="55"/>
      <c r="DD31" s="55"/>
      <c r="DE31" s="56"/>
      <c r="DF31" s="55"/>
      <c r="DG31" s="55"/>
      <c r="DH31" s="55"/>
      <c r="DI31" s="56"/>
      <c r="DJ31" s="55"/>
      <c r="DK31" s="55"/>
      <c r="DL31" s="55"/>
      <c r="DM31" s="56"/>
      <c r="DN31" s="55"/>
      <c r="DO31" s="55"/>
      <c r="DP31" s="55"/>
      <c r="DQ31" s="56"/>
      <c r="DR31" s="55"/>
      <c r="DS31" s="55"/>
      <c r="DT31" s="55"/>
      <c r="DU31" s="56"/>
      <c r="DV31" s="55"/>
      <c r="DW31" s="55"/>
      <c r="DX31" s="55"/>
      <c r="DY31" s="56"/>
      <c r="DZ31" s="55"/>
      <c r="EA31" s="55"/>
      <c r="EB31" s="55"/>
      <c r="EC31" s="56"/>
      <c r="ED31" s="55"/>
      <c r="EE31" s="55"/>
      <c r="EF31" s="55"/>
      <c r="EG31" s="56"/>
      <c r="EH31" s="55"/>
      <c r="EI31" s="55"/>
      <c r="EJ31" s="55"/>
      <c r="EK31" s="56"/>
      <c r="EL31" s="55"/>
      <c r="EM31" s="55"/>
      <c r="EN31" s="55"/>
      <c r="EO31" s="56"/>
      <c r="EP31" s="55"/>
      <c r="EQ31" s="55"/>
      <c r="ER31" s="55"/>
      <c r="ES31" s="56"/>
      <c r="ET31" s="55"/>
      <c r="EU31" s="55"/>
      <c r="EV31" s="55"/>
      <c r="EW31" s="56"/>
      <c r="EX31" s="55"/>
      <c r="EY31" s="55"/>
      <c r="EZ31" s="55"/>
      <c r="FA31" s="56"/>
      <c r="FB31" s="55"/>
      <c r="FC31" s="55"/>
      <c r="FD31" s="55"/>
      <c r="FE31" s="56"/>
      <c r="FF31" s="55"/>
      <c r="FG31" s="55"/>
      <c r="FH31" s="55"/>
      <c r="FI31" s="56"/>
      <c r="FJ31" s="55"/>
      <c r="FK31" s="55"/>
      <c r="FL31" s="55"/>
      <c r="FM31" s="56"/>
      <c r="FN31" s="55"/>
      <c r="FO31" s="55"/>
      <c r="FP31" s="55"/>
      <c r="FQ31" s="56"/>
      <c r="FR31" s="55"/>
      <c r="FS31" s="55"/>
      <c r="FT31" s="55"/>
      <c r="FU31" s="56"/>
      <c r="FV31" s="55"/>
      <c r="FW31" s="55"/>
      <c r="FX31" s="55"/>
      <c r="FY31" s="56"/>
      <c r="FZ31" s="55"/>
      <c r="GA31" s="55"/>
      <c r="GB31" s="55"/>
      <c r="GC31" s="56"/>
      <c r="GD31" s="55"/>
      <c r="GE31" s="55"/>
      <c r="GF31" s="55"/>
      <c r="GG31" s="56"/>
      <c r="GH31" s="55"/>
      <c r="GI31" s="55"/>
      <c r="GJ31" s="55"/>
      <c r="GK31" s="56"/>
      <c r="GL31" s="55"/>
      <c r="GM31" s="55"/>
      <c r="GN31" s="55"/>
      <c r="GO31" s="56"/>
      <c r="GP31" s="55"/>
      <c r="GQ31" s="55"/>
      <c r="GR31" s="55"/>
      <c r="GS31" s="56"/>
      <c r="GT31" s="55"/>
      <c r="GU31" s="55"/>
      <c r="GV31" s="55"/>
      <c r="GW31" s="56"/>
      <c r="GX31" s="55"/>
      <c r="GY31" s="55"/>
      <c r="GZ31" s="55"/>
      <c r="HA31" s="56"/>
      <c r="HB31" s="55"/>
      <c r="HC31" s="55"/>
      <c r="HD31" s="55"/>
      <c r="HE31" s="56"/>
      <c r="HF31" s="55"/>
      <c r="HG31" s="55"/>
      <c r="HH31" s="55"/>
      <c r="HI31" s="56"/>
      <c r="HJ31" s="55"/>
      <c r="HK31" s="55"/>
      <c r="HL31" s="55"/>
      <c r="HM31" s="56"/>
      <c r="HN31" s="55"/>
      <c r="HO31" s="55"/>
      <c r="HP31" s="55"/>
      <c r="HQ31" s="56"/>
      <c r="HR31" s="55"/>
      <c r="HS31" s="55"/>
      <c r="HT31" s="55"/>
      <c r="HU31" s="56"/>
      <c r="HV31" s="55"/>
      <c r="HW31" s="55"/>
      <c r="HX31" s="55"/>
      <c r="HY31" s="56"/>
      <c r="HZ31" s="55"/>
      <c r="IA31" s="55"/>
      <c r="IB31" s="55"/>
      <c r="IC31" s="56"/>
      <c r="ID31" s="55"/>
      <c r="IE31" s="55"/>
      <c r="IF31" s="55"/>
      <c r="IG31" s="56"/>
      <c r="IH31" s="55"/>
      <c r="II31" s="55"/>
      <c r="IJ31" s="55"/>
      <c r="IK31" s="56"/>
      <c r="IL31" s="55"/>
      <c r="IM31" s="55"/>
      <c r="IN31" s="55"/>
      <c r="IO31" s="56"/>
      <c r="IP31" s="55"/>
      <c r="IQ31" s="55"/>
      <c r="IR31" s="55"/>
      <c r="IS31" s="56"/>
      <c r="IT31" s="55"/>
      <c r="IU31" s="55"/>
      <c r="IV31" s="55"/>
    </row>
    <row r="32" spans="1:256" ht="15" x14ac:dyDescent="0.2">
      <c r="A32" s="358" t="s">
        <v>249</v>
      </c>
      <c r="B32" s="358"/>
      <c r="C32" s="358"/>
      <c r="D32" s="358"/>
      <c r="E32" s="358"/>
      <c r="F32" s="358"/>
      <c r="G32" s="358"/>
    </row>
    <row r="33" spans="1:5" ht="15.75" customHeight="1" x14ac:dyDescent="0.2">
      <c r="A33" s="3" t="s">
        <v>213</v>
      </c>
    </row>
    <row r="34" spans="1:5" ht="15" x14ac:dyDescent="0.2">
      <c r="A34" s="36"/>
    </row>
    <row r="35" spans="1:5" ht="15" x14ac:dyDescent="0.2">
      <c r="A35" s="357"/>
      <c r="B35" s="357"/>
    </row>
    <row r="36" spans="1:5" ht="18" x14ac:dyDescent="0.3">
      <c r="A36" s="350" t="s">
        <v>454</v>
      </c>
    </row>
    <row r="37" spans="1:5" x14ac:dyDescent="0.2">
      <c r="D37" s="3" t="s">
        <v>380</v>
      </c>
      <c r="E37" s="3">
        <v>260</v>
      </c>
    </row>
    <row r="38" spans="1:5" s="313" customFormat="1" ht="76.5" x14ac:dyDescent="0.2">
      <c r="A38" s="312"/>
      <c r="B38" s="312" t="s">
        <v>253</v>
      </c>
      <c r="C38" s="312" t="s">
        <v>382</v>
      </c>
      <c r="D38" s="312" t="s">
        <v>257</v>
      </c>
      <c r="E38" s="314" t="s">
        <v>258</v>
      </c>
    </row>
    <row r="39" spans="1:5" x14ac:dyDescent="0.2">
      <c r="A39" s="4" t="s">
        <v>251</v>
      </c>
      <c r="B39" s="5">
        <v>47</v>
      </c>
      <c r="C39" s="5">
        <v>0.05</v>
      </c>
      <c r="D39" s="5">
        <f>C39*B39</f>
        <v>2.35</v>
      </c>
      <c r="E39" s="6">
        <f>D39*E37</f>
        <v>611</v>
      </c>
    </row>
    <row r="40" spans="1:5" x14ac:dyDescent="0.2">
      <c r="A40" s="4" t="s">
        <v>252</v>
      </c>
      <c r="B40" s="5">
        <v>109</v>
      </c>
      <c r="C40" s="5">
        <v>0.05</v>
      </c>
      <c r="D40" s="5">
        <f>C40*B40</f>
        <v>5.45</v>
      </c>
      <c r="E40" s="6">
        <f>E37*D40</f>
        <v>1417</v>
      </c>
    </row>
    <row r="41" spans="1:5" x14ac:dyDescent="0.2">
      <c r="A41" s="315" t="s">
        <v>2</v>
      </c>
      <c r="B41" s="137">
        <v>156</v>
      </c>
      <c r="C41" s="137"/>
      <c r="D41" s="137">
        <f>D39+D40</f>
        <v>7.8000000000000007</v>
      </c>
      <c r="E41" s="7">
        <f>E39+E40</f>
        <v>2028</v>
      </c>
    </row>
    <row r="44" spans="1:5" ht="18" x14ac:dyDescent="0.3">
      <c r="A44" s="350" t="s">
        <v>455</v>
      </c>
    </row>
    <row r="46" spans="1:5" x14ac:dyDescent="0.2">
      <c r="D46" s="3" t="s">
        <v>381</v>
      </c>
      <c r="E46" s="3">
        <v>104</v>
      </c>
    </row>
    <row r="47" spans="1:5" ht="76.5" x14ac:dyDescent="0.2">
      <c r="A47" s="312"/>
      <c r="B47" s="312" t="s">
        <v>254</v>
      </c>
      <c r="C47" s="312" t="s">
        <v>382</v>
      </c>
      <c r="D47" s="312" t="s">
        <v>257</v>
      </c>
      <c r="E47" s="314" t="s">
        <v>258</v>
      </c>
    </row>
    <row r="48" spans="1:5" x14ac:dyDescent="0.2">
      <c r="A48" s="4" t="s">
        <v>74</v>
      </c>
      <c r="B48" s="5">
        <v>193</v>
      </c>
      <c r="C48" s="5">
        <v>0.05</v>
      </c>
      <c r="D48" s="5">
        <f>C48*B48</f>
        <v>9.65</v>
      </c>
      <c r="E48" s="6">
        <f>D48*E46</f>
        <v>1003.6</v>
      </c>
    </row>
    <row r="49" spans="1:5" x14ac:dyDescent="0.2">
      <c r="A49" s="4" t="s">
        <v>255</v>
      </c>
      <c r="B49" s="5">
        <v>228</v>
      </c>
      <c r="C49" s="5">
        <v>0.05</v>
      </c>
      <c r="D49" s="5">
        <f t="shared" ref="D49" si="0">C49*B49</f>
        <v>11.4</v>
      </c>
      <c r="E49" s="6">
        <f>E46*D49</f>
        <v>1185.6000000000001</v>
      </c>
    </row>
    <row r="50" spans="1:5" x14ac:dyDescent="0.2">
      <c r="A50" s="315" t="s">
        <v>256</v>
      </c>
      <c r="B50" s="137">
        <v>421</v>
      </c>
      <c r="C50" s="137"/>
      <c r="D50" s="137">
        <f>SUM(D48:D49)</f>
        <v>21.05</v>
      </c>
      <c r="E50" s="7">
        <f>E48+E49</f>
        <v>2189.2000000000003</v>
      </c>
    </row>
    <row r="51" spans="1:5" x14ac:dyDescent="0.2">
      <c r="A51" s="5"/>
      <c r="B51" s="5"/>
      <c r="C51" s="5"/>
      <c r="D51" s="5"/>
      <c r="E51" s="5"/>
    </row>
    <row r="52" spans="1:5" x14ac:dyDescent="0.2">
      <c r="A52" s="5"/>
      <c r="B52" s="5"/>
      <c r="C52" s="5"/>
      <c r="D52" s="5"/>
      <c r="E52" s="5"/>
    </row>
    <row r="53" spans="1:5" ht="15.75" x14ac:dyDescent="0.25">
      <c r="A53" s="297" t="s">
        <v>3</v>
      </c>
      <c r="E53" s="3">
        <f>E50+E41</f>
        <v>4217.2000000000007</v>
      </c>
    </row>
    <row r="54" spans="1:5" ht="15" x14ac:dyDescent="0.2">
      <c r="A54" s="3" t="s">
        <v>456</v>
      </c>
    </row>
  </sheetData>
  <mergeCells count="4">
    <mergeCell ref="C8:J8"/>
    <mergeCell ref="A31:J31"/>
    <mergeCell ref="A35:B35"/>
    <mergeCell ref="A32:G32"/>
  </mergeCells>
  <phoneticPr fontId="2" type="noConversion"/>
  <printOptions horizontalCentered="1"/>
  <pageMargins left="0.5" right="0.5" top="1" bottom="0.75" header="0.5" footer="0.5"/>
  <pageSetup scale="71" orientation="landscape" r:id="rId1"/>
  <headerFooter alignWithMargins="0">
    <oddHeader>&amp;L&amp;"Arial Narrow,Regular"&amp;12&amp;K000000&amp;D&amp;C&amp;"Arial Narrow,Bold"&amp;14&amp;K000000TIGER V - Ardmore TOD Cost Benefit Analysis</oddHeader>
    <oddFooter>&amp;L&amp;A&amp;C&amp;"Arial Narrow,Regular"&amp;12&amp;P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J41"/>
  <sheetViews>
    <sheetView topLeftCell="A19" zoomScaleNormal="100" workbookViewId="0">
      <selection activeCell="C47" sqref="C47"/>
    </sheetView>
  </sheetViews>
  <sheetFormatPr defaultColWidth="11.42578125" defaultRowHeight="15.75" x14ac:dyDescent="0.25"/>
  <cols>
    <col min="1" max="1" width="34.85546875" style="2" customWidth="1"/>
    <col min="2" max="3" width="15.42578125" style="2" customWidth="1"/>
    <col min="4" max="4" width="16.140625" style="2" customWidth="1"/>
    <col min="5" max="5" width="14" style="2" bestFit="1" customWidth="1"/>
    <col min="6" max="6" width="44.5703125" style="2" customWidth="1"/>
    <col min="7" max="9" width="10.85546875" style="2" customWidth="1"/>
    <col min="10" max="10" width="15.85546875" style="2" customWidth="1"/>
    <col min="11" max="16384" width="11.42578125" style="2"/>
  </cols>
  <sheetData>
    <row r="1" spans="1:10" ht="18" x14ac:dyDescent="0.25">
      <c r="A1" s="295" t="s">
        <v>82</v>
      </c>
      <c r="B1" s="5"/>
      <c r="C1" s="5"/>
      <c r="D1" s="5"/>
      <c r="E1" s="5"/>
      <c r="F1" s="5"/>
      <c r="G1" s="5"/>
      <c r="H1" s="5"/>
      <c r="I1" s="3"/>
    </row>
    <row r="2" spans="1:10" x14ac:dyDescent="0.25">
      <c r="A2" s="5"/>
      <c r="B2" s="5"/>
      <c r="C2" s="5"/>
      <c r="D2" s="5"/>
      <c r="E2" s="5"/>
      <c r="F2" s="5"/>
      <c r="G2" s="5"/>
      <c r="H2" s="5"/>
      <c r="I2" s="3"/>
    </row>
    <row r="3" spans="1:10" x14ac:dyDescent="0.25">
      <c r="A3" s="292" t="s">
        <v>83</v>
      </c>
      <c r="B3" s="5"/>
      <c r="C3" s="5"/>
      <c r="D3" s="5"/>
      <c r="E3" s="5"/>
      <c r="F3" s="5"/>
      <c r="G3" s="5"/>
      <c r="H3" s="5"/>
      <c r="I3" s="3"/>
    </row>
    <row r="4" spans="1:10" x14ac:dyDescent="0.25">
      <c r="A4" s="21"/>
      <c r="B4" s="5"/>
      <c r="C4" s="5"/>
      <c r="D4" s="5"/>
      <c r="E4" s="5"/>
      <c r="F4" s="5"/>
      <c r="G4" s="5"/>
      <c r="H4" s="5"/>
      <c r="I4" s="3"/>
    </row>
    <row r="5" spans="1:10" x14ac:dyDescent="0.25">
      <c r="A5" s="274" t="s">
        <v>0</v>
      </c>
      <c r="B5" s="251" t="s">
        <v>1</v>
      </c>
      <c r="C5" s="5"/>
      <c r="D5" s="274" t="s">
        <v>13</v>
      </c>
      <c r="E5" s="251"/>
      <c r="F5" s="362" t="s">
        <v>108</v>
      </c>
      <c r="G5" s="363"/>
      <c r="H5" s="363"/>
      <c r="I5" s="363"/>
      <c r="J5" s="364"/>
    </row>
    <row r="6" spans="1:10" x14ac:dyDescent="0.25">
      <c r="A6" s="4" t="s">
        <v>88</v>
      </c>
      <c r="B6" s="33">
        <f>'2-Reduced Local Traffic'!D16</f>
        <v>14976.758918918918</v>
      </c>
      <c r="C6" s="5"/>
      <c r="D6" s="4" t="s">
        <v>11</v>
      </c>
      <c r="E6" s="278">
        <v>42</v>
      </c>
      <c r="F6" s="359" t="s">
        <v>200</v>
      </c>
      <c r="G6" s="360"/>
      <c r="H6" s="360"/>
      <c r="I6" s="360"/>
      <c r="J6" s="361"/>
    </row>
    <row r="7" spans="1:10" x14ac:dyDescent="0.25">
      <c r="A7" s="4" t="s">
        <v>161</v>
      </c>
      <c r="B7" s="87">
        <f>E6*E7</f>
        <v>19.152000000000001</v>
      </c>
      <c r="C7" s="5"/>
      <c r="D7" s="4" t="s">
        <v>12</v>
      </c>
      <c r="E7" s="97">
        <v>0.45600000000000002</v>
      </c>
      <c r="F7" s="205" t="s">
        <v>200</v>
      </c>
      <c r="G7" s="117"/>
      <c r="H7" s="117"/>
      <c r="I7" s="117"/>
      <c r="J7" s="206"/>
    </row>
    <row r="8" spans="1:10" x14ac:dyDescent="0.25">
      <c r="A8" s="4" t="s">
        <v>4</v>
      </c>
      <c r="B8" s="88">
        <f>B6/B7</f>
        <v>781.99451331030275</v>
      </c>
      <c r="C8" s="5"/>
      <c r="D8" s="17" t="s">
        <v>87</v>
      </c>
      <c r="E8" s="279">
        <v>0.4</v>
      </c>
      <c r="F8" s="118" t="s">
        <v>201</v>
      </c>
      <c r="G8" s="119"/>
      <c r="H8" s="119"/>
      <c r="I8" s="119"/>
      <c r="J8" s="207"/>
    </row>
    <row r="9" spans="1:10" x14ac:dyDescent="0.25">
      <c r="A9" s="26" t="s">
        <v>5</v>
      </c>
      <c r="B9" s="38">
        <f>B8</f>
        <v>781.99451331030275</v>
      </c>
      <c r="C9" s="5"/>
      <c r="D9" s="59"/>
      <c r="E9" s="5"/>
      <c r="F9" s="3"/>
      <c r="G9" s="3"/>
      <c r="H9" s="3"/>
      <c r="I9" s="3"/>
    </row>
    <row r="10" spans="1:10" x14ac:dyDescent="0.25">
      <c r="A10" s="89"/>
      <c r="B10" s="11"/>
      <c r="C10" s="5"/>
      <c r="D10" s="5"/>
      <c r="E10" s="5"/>
      <c r="F10" s="3"/>
      <c r="G10" s="3"/>
      <c r="H10" s="3"/>
      <c r="I10" s="3"/>
    </row>
    <row r="11" spans="1:10" x14ac:dyDescent="0.25">
      <c r="A11" s="4" t="s">
        <v>87</v>
      </c>
      <c r="B11" s="90">
        <f>E8</f>
        <v>0.4</v>
      </c>
      <c r="C11" s="5"/>
      <c r="D11" s="5"/>
      <c r="E11" s="5"/>
      <c r="F11" s="3"/>
      <c r="G11" s="3"/>
      <c r="H11" s="3"/>
      <c r="I11" s="3"/>
    </row>
    <row r="12" spans="1:10" x14ac:dyDescent="0.25">
      <c r="A12" s="26" t="s">
        <v>6</v>
      </c>
      <c r="B12" s="38">
        <f>B9*B11</f>
        <v>312.7978053241211</v>
      </c>
      <c r="C12" s="5"/>
      <c r="D12" s="5"/>
      <c r="E12" s="5"/>
      <c r="F12" s="3"/>
      <c r="G12" s="3"/>
      <c r="H12" s="3"/>
      <c r="I12" s="3"/>
    </row>
    <row r="13" spans="1:10" x14ac:dyDescent="0.25">
      <c r="A13" s="42"/>
      <c r="B13" s="48"/>
      <c r="C13" s="5"/>
      <c r="D13" s="5"/>
      <c r="E13" s="5"/>
      <c r="F13" s="3"/>
      <c r="G13" s="3"/>
      <c r="H13" s="3"/>
      <c r="I13" s="3"/>
    </row>
    <row r="14" spans="1:10" x14ac:dyDescent="0.25">
      <c r="A14" s="5"/>
      <c r="B14" s="5"/>
      <c r="C14" s="5"/>
      <c r="D14" s="5"/>
      <c r="E14" s="5"/>
      <c r="F14" s="3"/>
      <c r="G14" s="3"/>
      <c r="H14" s="3"/>
      <c r="I14" s="3"/>
    </row>
    <row r="15" spans="1:10" x14ac:dyDescent="0.25">
      <c r="A15" s="292" t="s">
        <v>84</v>
      </c>
      <c r="B15" s="5"/>
      <c r="C15" s="5"/>
      <c r="D15" s="5"/>
      <c r="E15" s="5"/>
      <c r="F15" s="3"/>
      <c r="G15" s="3"/>
      <c r="H15" s="3"/>
      <c r="I15" s="3"/>
    </row>
    <row r="16" spans="1:10" x14ac:dyDescent="0.25">
      <c r="A16" s="5"/>
      <c r="B16" s="5"/>
      <c r="C16" s="5"/>
      <c r="D16" s="5"/>
      <c r="E16" s="5"/>
      <c r="F16" s="3"/>
      <c r="G16" s="3"/>
      <c r="H16" s="3"/>
      <c r="I16" s="3"/>
    </row>
    <row r="17" spans="1:9" x14ac:dyDescent="0.25">
      <c r="A17" s="274" t="s">
        <v>0</v>
      </c>
      <c r="B17" s="249" t="s">
        <v>162</v>
      </c>
      <c r="C17" s="251" t="s">
        <v>7</v>
      </c>
      <c r="D17" s="5"/>
    </row>
    <row r="18" spans="1:9" x14ac:dyDescent="0.25">
      <c r="A18" s="4" t="s">
        <v>8</v>
      </c>
      <c r="B18" s="59">
        <f>AVERAGE(C27,D27)</f>
        <v>120.38292989019129</v>
      </c>
      <c r="C18" s="23">
        <f>B12*B18</f>
        <v>37655.516268139378</v>
      </c>
      <c r="D18" s="5"/>
    </row>
    <row r="19" spans="1:9" x14ac:dyDescent="0.25">
      <c r="A19" s="4" t="s">
        <v>9</v>
      </c>
      <c r="B19" s="59">
        <f>B28</f>
        <v>149.80986830779361</v>
      </c>
      <c r="C19" s="23">
        <f>B12*B19</f>
        <v>46860.198022573444</v>
      </c>
      <c r="D19" s="5"/>
    </row>
    <row r="20" spans="1:9" x14ac:dyDescent="0.25">
      <c r="A20" s="4" t="s">
        <v>10</v>
      </c>
      <c r="B20" s="59">
        <f>AVERAGE(C29,D29)</f>
        <v>3.4242255613209966</v>
      </c>
      <c r="C20" s="23">
        <f>B8*B20</f>
        <v>2677.7256012899111</v>
      </c>
      <c r="D20" s="5"/>
    </row>
    <row r="21" spans="1:9" x14ac:dyDescent="0.25">
      <c r="A21" s="26" t="s">
        <v>2</v>
      </c>
      <c r="B21" s="95">
        <f>SUM(B18:B20)</f>
        <v>273.61702375930588</v>
      </c>
      <c r="C21" s="96">
        <f>SUM(C18:C20)</f>
        <v>87193.439892002731</v>
      </c>
      <c r="D21" s="5"/>
      <c r="E21" s="5"/>
      <c r="F21" s="3"/>
      <c r="G21" s="3"/>
      <c r="H21" s="3"/>
      <c r="I21" s="3"/>
    </row>
    <row r="22" spans="1:9" x14ac:dyDescent="0.25">
      <c r="A22" s="5"/>
      <c r="B22" s="5"/>
      <c r="C22" s="5"/>
      <c r="D22" s="5"/>
      <c r="E22" s="5"/>
      <c r="F22" s="5"/>
      <c r="G22" s="5"/>
      <c r="H22" s="5"/>
      <c r="I22" s="3"/>
    </row>
    <row r="23" spans="1:9" x14ac:dyDescent="0.25">
      <c r="A23" s="5"/>
      <c r="B23" s="5"/>
      <c r="C23" s="5"/>
      <c r="D23" s="5"/>
      <c r="E23" s="5"/>
      <c r="F23" s="5"/>
      <c r="G23" s="5"/>
      <c r="H23" s="5"/>
      <c r="I23" s="3"/>
    </row>
    <row r="24" spans="1:9" x14ac:dyDescent="0.25">
      <c r="A24" s="292" t="s">
        <v>199</v>
      </c>
      <c r="B24" s="5"/>
      <c r="C24" s="5"/>
      <c r="D24" s="5"/>
      <c r="E24" s="5"/>
      <c r="F24" s="5"/>
      <c r="G24" s="5"/>
      <c r="H24" s="5"/>
      <c r="I24" s="3"/>
    </row>
    <row r="25" spans="1:9" x14ac:dyDescent="0.25">
      <c r="A25" s="5"/>
      <c r="B25" s="5"/>
      <c r="C25" s="5"/>
      <c r="D25" s="5"/>
      <c r="E25" s="5"/>
      <c r="F25" s="5"/>
      <c r="G25" s="5"/>
      <c r="H25" s="5"/>
      <c r="I25" s="3"/>
    </row>
    <row r="26" spans="1:9" ht="26.25" x14ac:dyDescent="0.25">
      <c r="A26" s="262">
        <v>2014</v>
      </c>
      <c r="B26" s="267" t="s">
        <v>95</v>
      </c>
      <c r="C26" s="267" t="s">
        <v>96</v>
      </c>
      <c r="D26" s="275" t="s">
        <v>14</v>
      </c>
      <c r="E26" s="276" t="s">
        <v>108</v>
      </c>
      <c r="F26" s="5"/>
      <c r="G26" s="5"/>
      <c r="H26" s="5"/>
      <c r="I26" s="3"/>
    </row>
    <row r="27" spans="1:9" x14ac:dyDescent="0.25">
      <c r="A27" s="4" t="s">
        <v>185</v>
      </c>
      <c r="B27" s="59"/>
      <c r="C27" s="59">
        <f>C38*$B$41</f>
        <v>90.955991472588977</v>
      </c>
      <c r="D27" s="59">
        <f>D38*$B$41</f>
        <v>149.80986830779361</v>
      </c>
      <c r="E27" s="223" t="s">
        <v>197</v>
      </c>
      <c r="F27" s="5"/>
      <c r="G27" s="5"/>
      <c r="H27" s="5"/>
      <c r="I27" s="3"/>
    </row>
    <row r="28" spans="1:9" x14ac:dyDescent="0.25">
      <c r="A28" s="4" t="s">
        <v>186</v>
      </c>
      <c r="B28" s="59">
        <f>B39*$B$41</f>
        <v>149.80986830779361</v>
      </c>
      <c r="C28" s="91"/>
      <c r="D28" s="92"/>
      <c r="E28" s="224" t="s">
        <v>197</v>
      </c>
      <c r="F28" s="5"/>
      <c r="G28" s="5"/>
      <c r="H28" s="5"/>
      <c r="I28" s="3"/>
    </row>
    <row r="29" spans="1:9" x14ac:dyDescent="0.25">
      <c r="A29" s="17" t="s">
        <v>187</v>
      </c>
      <c r="B29" s="60"/>
      <c r="C29" s="60">
        <f>C40*$B$41</f>
        <v>1.7121127806604985</v>
      </c>
      <c r="D29" s="60">
        <f>D40*$B$41</f>
        <v>5.136338341981495</v>
      </c>
      <c r="E29" s="225" t="s">
        <v>198</v>
      </c>
      <c r="F29" s="5"/>
      <c r="G29" s="5"/>
      <c r="H29" s="5"/>
      <c r="I29" s="3"/>
    </row>
    <row r="30" spans="1:9" x14ac:dyDescent="0.25">
      <c r="A30" s="190"/>
      <c r="B30" s="191"/>
      <c r="C30" s="191"/>
      <c r="D30" s="5"/>
      <c r="E30" s="5"/>
      <c r="F30" s="5"/>
      <c r="G30" s="5"/>
      <c r="H30" s="5"/>
      <c r="I30" s="3"/>
    </row>
    <row r="31" spans="1:9" x14ac:dyDescent="0.25">
      <c r="A31" s="359" t="s">
        <v>196</v>
      </c>
      <c r="B31" s="360"/>
      <c r="C31" s="360"/>
      <c r="D31" s="360"/>
      <c r="E31" s="360"/>
      <c r="F31" s="360"/>
      <c r="G31" s="360"/>
      <c r="H31" s="360"/>
      <c r="I31" s="360"/>
    </row>
    <row r="32" spans="1:9" x14ac:dyDescent="0.25">
      <c r="A32" s="192"/>
      <c r="B32" s="193"/>
      <c r="C32" s="193"/>
      <c r="D32" s="5"/>
      <c r="E32" s="5"/>
      <c r="F32" s="5"/>
      <c r="G32" s="5"/>
      <c r="H32" s="5"/>
      <c r="I32" s="3"/>
    </row>
    <row r="33" spans="1:9" x14ac:dyDescent="0.25">
      <c r="A33" s="188"/>
      <c r="B33" s="189"/>
      <c r="C33" s="189"/>
      <c r="D33" s="5"/>
      <c r="E33" s="5"/>
      <c r="F33" s="5"/>
      <c r="G33" s="5"/>
      <c r="H33" s="5"/>
      <c r="I33" s="3"/>
    </row>
    <row r="34" spans="1:9" x14ac:dyDescent="0.25">
      <c r="F34" s="1"/>
      <c r="G34" s="1"/>
      <c r="H34" s="1"/>
    </row>
    <row r="35" spans="1:9" x14ac:dyDescent="0.25">
      <c r="A35" s="292" t="s">
        <v>237</v>
      </c>
      <c r="F35" s="1"/>
      <c r="G35" s="1"/>
      <c r="H35" s="1"/>
    </row>
    <row r="36" spans="1:9" x14ac:dyDescent="0.25">
      <c r="F36" s="1"/>
      <c r="G36" s="1"/>
      <c r="H36" s="1"/>
    </row>
    <row r="37" spans="1:9" x14ac:dyDescent="0.25">
      <c r="A37" s="262">
        <v>2010</v>
      </c>
      <c r="B37" s="262" t="s">
        <v>95</v>
      </c>
      <c r="C37" s="262" t="s">
        <v>96</v>
      </c>
      <c r="D37" s="262" t="s">
        <v>14</v>
      </c>
      <c r="E37" s="262" t="s">
        <v>108</v>
      </c>
      <c r="F37" s="1"/>
      <c r="G37" s="1"/>
      <c r="H37" s="1"/>
    </row>
    <row r="38" spans="1:9" x14ac:dyDescent="0.25">
      <c r="A38" s="4" t="s">
        <v>185</v>
      </c>
      <c r="B38" s="59"/>
      <c r="C38" s="91">
        <v>85</v>
      </c>
      <c r="D38" s="92">
        <v>140</v>
      </c>
      <c r="E38" s="223" t="s">
        <v>197</v>
      </c>
      <c r="F38" s="1"/>
      <c r="G38" s="1"/>
      <c r="H38" s="1"/>
    </row>
    <row r="39" spans="1:9" x14ac:dyDescent="0.25">
      <c r="A39" s="4" t="s">
        <v>186</v>
      </c>
      <c r="B39" s="59">
        <v>140</v>
      </c>
      <c r="C39" s="91"/>
      <c r="D39" s="92"/>
      <c r="E39" s="224" t="s">
        <v>197</v>
      </c>
      <c r="F39" s="1"/>
      <c r="G39" s="1"/>
      <c r="H39" s="1"/>
    </row>
    <row r="40" spans="1:9" x14ac:dyDescent="0.25">
      <c r="A40" s="17" t="s">
        <v>187</v>
      </c>
      <c r="B40" s="60"/>
      <c r="C40" s="93">
        <v>1.6</v>
      </c>
      <c r="D40" s="94">
        <v>4.8</v>
      </c>
      <c r="E40" s="225" t="s">
        <v>198</v>
      </c>
      <c r="F40" s="1"/>
      <c r="G40" s="1"/>
      <c r="H40" s="1"/>
    </row>
    <row r="41" spans="1:9" x14ac:dyDescent="0.25">
      <c r="A41" s="3" t="s">
        <v>238</v>
      </c>
      <c r="B41" s="131">
        <f>'1-Nominal Adjustment'!L5</f>
        <v>1.0700704879128116</v>
      </c>
      <c r="C41" s="3" t="s">
        <v>177</v>
      </c>
    </row>
  </sheetData>
  <mergeCells count="3">
    <mergeCell ref="A31:I31"/>
    <mergeCell ref="F6:J6"/>
    <mergeCell ref="F5:J5"/>
  </mergeCells>
  <phoneticPr fontId="2" type="noConversion"/>
  <printOptions horizontalCentered="1"/>
  <pageMargins left="0.5" right="0.5" top="1" bottom="0.75" header="0.5" footer="0.5"/>
  <pageSetup scale="67" orientation="landscape" r:id="rId1"/>
  <headerFooter alignWithMargins="0">
    <oddHeader>&amp;L&amp;"Arial Narrow,Regular"&amp;12&amp;K000000&amp;D&amp;C&amp;"Arial Narrow,Bold"&amp;14&amp;K000000TIGER V - Ardmore TOD Cost Benefit Analysis</oddHeader>
    <oddFooter>&amp;L&amp;A&amp;C&amp;"Arial Narrow,Regular"&amp;12&amp;P of &amp;N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7" zoomScaleNormal="100" workbookViewId="0">
      <selection activeCell="E38" sqref="E38"/>
    </sheetView>
  </sheetViews>
  <sheetFormatPr defaultColWidth="11.42578125" defaultRowHeight="15.75" x14ac:dyDescent="0.25"/>
  <cols>
    <col min="1" max="1" width="38.140625" style="2" bestFit="1" customWidth="1"/>
    <col min="2" max="3" width="20.85546875" style="2" customWidth="1"/>
    <col min="4" max="4" width="11.42578125" style="2"/>
    <col min="5" max="5" width="12.85546875" style="2" bestFit="1" customWidth="1"/>
    <col min="6" max="256" width="11.42578125" style="2"/>
    <col min="257" max="257" width="38.140625" style="2" bestFit="1" customWidth="1"/>
    <col min="258" max="259" width="20.85546875" style="2" customWidth="1"/>
    <col min="260" max="512" width="11.42578125" style="2"/>
    <col min="513" max="513" width="38.140625" style="2" bestFit="1" customWidth="1"/>
    <col min="514" max="515" width="20.85546875" style="2" customWidth="1"/>
    <col min="516" max="768" width="11.42578125" style="2"/>
    <col min="769" max="769" width="38.140625" style="2" bestFit="1" customWidth="1"/>
    <col min="770" max="771" width="20.85546875" style="2" customWidth="1"/>
    <col min="772" max="1024" width="11.42578125" style="2"/>
    <col min="1025" max="1025" width="38.140625" style="2" bestFit="1" customWidth="1"/>
    <col min="1026" max="1027" width="20.85546875" style="2" customWidth="1"/>
    <col min="1028" max="1280" width="11.42578125" style="2"/>
    <col min="1281" max="1281" width="38.140625" style="2" bestFit="1" customWidth="1"/>
    <col min="1282" max="1283" width="20.85546875" style="2" customWidth="1"/>
    <col min="1284" max="1536" width="11.42578125" style="2"/>
    <col min="1537" max="1537" width="38.140625" style="2" bestFit="1" customWidth="1"/>
    <col min="1538" max="1539" width="20.85546875" style="2" customWidth="1"/>
    <col min="1540" max="1792" width="11.42578125" style="2"/>
    <col min="1793" max="1793" width="38.140625" style="2" bestFit="1" customWidth="1"/>
    <col min="1794" max="1795" width="20.85546875" style="2" customWidth="1"/>
    <col min="1796" max="2048" width="11.42578125" style="2"/>
    <col min="2049" max="2049" width="38.140625" style="2" bestFit="1" customWidth="1"/>
    <col min="2050" max="2051" width="20.85546875" style="2" customWidth="1"/>
    <col min="2052" max="2304" width="11.42578125" style="2"/>
    <col min="2305" max="2305" width="38.140625" style="2" bestFit="1" customWidth="1"/>
    <col min="2306" max="2307" width="20.85546875" style="2" customWidth="1"/>
    <col min="2308" max="2560" width="11.42578125" style="2"/>
    <col min="2561" max="2561" width="38.140625" style="2" bestFit="1" customWidth="1"/>
    <col min="2562" max="2563" width="20.85546875" style="2" customWidth="1"/>
    <col min="2564" max="2816" width="11.42578125" style="2"/>
    <col min="2817" max="2817" width="38.140625" style="2" bestFit="1" customWidth="1"/>
    <col min="2818" max="2819" width="20.85546875" style="2" customWidth="1"/>
    <col min="2820" max="3072" width="11.42578125" style="2"/>
    <col min="3073" max="3073" width="38.140625" style="2" bestFit="1" customWidth="1"/>
    <col min="3074" max="3075" width="20.85546875" style="2" customWidth="1"/>
    <col min="3076" max="3328" width="11.42578125" style="2"/>
    <col min="3329" max="3329" width="38.140625" style="2" bestFit="1" customWidth="1"/>
    <col min="3330" max="3331" width="20.85546875" style="2" customWidth="1"/>
    <col min="3332" max="3584" width="11.42578125" style="2"/>
    <col min="3585" max="3585" width="38.140625" style="2" bestFit="1" customWidth="1"/>
    <col min="3586" max="3587" width="20.85546875" style="2" customWidth="1"/>
    <col min="3588" max="3840" width="11.42578125" style="2"/>
    <col min="3841" max="3841" width="38.140625" style="2" bestFit="1" customWidth="1"/>
    <col min="3842" max="3843" width="20.85546875" style="2" customWidth="1"/>
    <col min="3844" max="4096" width="11.42578125" style="2"/>
    <col min="4097" max="4097" width="38.140625" style="2" bestFit="1" customWidth="1"/>
    <col min="4098" max="4099" width="20.85546875" style="2" customWidth="1"/>
    <col min="4100" max="4352" width="11.42578125" style="2"/>
    <col min="4353" max="4353" width="38.140625" style="2" bestFit="1" customWidth="1"/>
    <col min="4354" max="4355" width="20.85546875" style="2" customWidth="1"/>
    <col min="4356" max="4608" width="11.42578125" style="2"/>
    <col min="4609" max="4609" width="38.140625" style="2" bestFit="1" customWidth="1"/>
    <col min="4610" max="4611" width="20.85546875" style="2" customWidth="1"/>
    <col min="4612" max="4864" width="11.42578125" style="2"/>
    <col min="4865" max="4865" width="38.140625" style="2" bestFit="1" customWidth="1"/>
    <col min="4866" max="4867" width="20.85546875" style="2" customWidth="1"/>
    <col min="4868" max="5120" width="11.42578125" style="2"/>
    <col min="5121" max="5121" width="38.140625" style="2" bestFit="1" customWidth="1"/>
    <col min="5122" max="5123" width="20.85546875" style="2" customWidth="1"/>
    <col min="5124" max="5376" width="11.42578125" style="2"/>
    <col min="5377" max="5377" width="38.140625" style="2" bestFit="1" customWidth="1"/>
    <col min="5378" max="5379" width="20.85546875" style="2" customWidth="1"/>
    <col min="5380" max="5632" width="11.42578125" style="2"/>
    <col min="5633" max="5633" width="38.140625" style="2" bestFit="1" customWidth="1"/>
    <col min="5634" max="5635" width="20.85546875" style="2" customWidth="1"/>
    <col min="5636" max="5888" width="11.42578125" style="2"/>
    <col min="5889" max="5889" width="38.140625" style="2" bestFit="1" customWidth="1"/>
    <col min="5890" max="5891" width="20.85546875" style="2" customWidth="1"/>
    <col min="5892" max="6144" width="11.42578125" style="2"/>
    <col min="6145" max="6145" width="38.140625" style="2" bestFit="1" customWidth="1"/>
    <col min="6146" max="6147" width="20.85546875" style="2" customWidth="1"/>
    <col min="6148" max="6400" width="11.42578125" style="2"/>
    <col min="6401" max="6401" width="38.140625" style="2" bestFit="1" customWidth="1"/>
    <col min="6402" max="6403" width="20.85546875" style="2" customWidth="1"/>
    <col min="6404" max="6656" width="11.42578125" style="2"/>
    <col min="6657" max="6657" width="38.140625" style="2" bestFit="1" customWidth="1"/>
    <col min="6658" max="6659" width="20.85546875" style="2" customWidth="1"/>
    <col min="6660" max="6912" width="11.42578125" style="2"/>
    <col min="6913" max="6913" width="38.140625" style="2" bestFit="1" customWidth="1"/>
    <col min="6914" max="6915" width="20.85546875" style="2" customWidth="1"/>
    <col min="6916" max="7168" width="11.42578125" style="2"/>
    <col min="7169" max="7169" width="38.140625" style="2" bestFit="1" customWidth="1"/>
    <col min="7170" max="7171" width="20.85546875" style="2" customWidth="1"/>
    <col min="7172" max="7424" width="11.42578125" style="2"/>
    <col min="7425" max="7425" width="38.140625" style="2" bestFit="1" customWidth="1"/>
    <col min="7426" max="7427" width="20.85546875" style="2" customWidth="1"/>
    <col min="7428" max="7680" width="11.42578125" style="2"/>
    <col min="7681" max="7681" width="38.140625" style="2" bestFit="1" customWidth="1"/>
    <col min="7682" max="7683" width="20.85546875" style="2" customWidth="1"/>
    <col min="7684" max="7936" width="11.42578125" style="2"/>
    <col min="7937" max="7937" width="38.140625" style="2" bestFit="1" customWidth="1"/>
    <col min="7938" max="7939" width="20.85546875" style="2" customWidth="1"/>
    <col min="7940" max="8192" width="11.42578125" style="2"/>
    <col min="8193" max="8193" width="38.140625" style="2" bestFit="1" customWidth="1"/>
    <col min="8194" max="8195" width="20.85546875" style="2" customWidth="1"/>
    <col min="8196" max="8448" width="11.42578125" style="2"/>
    <col min="8449" max="8449" width="38.140625" style="2" bestFit="1" customWidth="1"/>
    <col min="8450" max="8451" width="20.85546875" style="2" customWidth="1"/>
    <col min="8452" max="8704" width="11.42578125" style="2"/>
    <col min="8705" max="8705" width="38.140625" style="2" bestFit="1" customWidth="1"/>
    <col min="8706" max="8707" width="20.85546875" style="2" customWidth="1"/>
    <col min="8708" max="8960" width="11.42578125" style="2"/>
    <col min="8961" max="8961" width="38.140625" style="2" bestFit="1" customWidth="1"/>
    <col min="8962" max="8963" width="20.85546875" style="2" customWidth="1"/>
    <col min="8964" max="9216" width="11.42578125" style="2"/>
    <col min="9217" max="9217" width="38.140625" style="2" bestFit="1" customWidth="1"/>
    <col min="9218" max="9219" width="20.85546875" style="2" customWidth="1"/>
    <col min="9220" max="9472" width="11.42578125" style="2"/>
    <col min="9473" max="9473" width="38.140625" style="2" bestFit="1" customWidth="1"/>
    <col min="9474" max="9475" width="20.85546875" style="2" customWidth="1"/>
    <col min="9476" max="9728" width="11.42578125" style="2"/>
    <col min="9729" max="9729" width="38.140625" style="2" bestFit="1" customWidth="1"/>
    <col min="9730" max="9731" width="20.85546875" style="2" customWidth="1"/>
    <col min="9732" max="9984" width="11.42578125" style="2"/>
    <col min="9985" max="9985" width="38.140625" style="2" bestFit="1" customWidth="1"/>
    <col min="9986" max="9987" width="20.85546875" style="2" customWidth="1"/>
    <col min="9988" max="10240" width="11.42578125" style="2"/>
    <col min="10241" max="10241" width="38.140625" style="2" bestFit="1" customWidth="1"/>
    <col min="10242" max="10243" width="20.85546875" style="2" customWidth="1"/>
    <col min="10244" max="10496" width="11.42578125" style="2"/>
    <col min="10497" max="10497" width="38.140625" style="2" bestFit="1" customWidth="1"/>
    <col min="10498" max="10499" width="20.85546875" style="2" customWidth="1"/>
    <col min="10500" max="10752" width="11.42578125" style="2"/>
    <col min="10753" max="10753" width="38.140625" style="2" bestFit="1" customWidth="1"/>
    <col min="10754" max="10755" width="20.85546875" style="2" customWidth="1"/>
    <col min="10756" max="11008" width="11.42578125" style="2"/>
    <col min="11009" max="11009" width="38.140625" style="2" bestFit="1" customWidth="1"/>
    <col min="11010" max="11011" width="20.85546875" style="2" customWidth="1"/>
    <col min="11012" max="11264" width="11.42578125" style="2"/>
    <col min="11265" max="11265" width="38.140625" style="2" bestFit="1" customWidth="1"/>
    <col min="11266" max="11267" width="20.85546875" style="2" customWidth="1"/>
    <col min="11268" max="11520" width="11.42578125" style="2"/>
    <col min="11521" max="11521" width="38.140625" style="2" bestFit="1" customWidth="1"/>
    <col min="11522" max="11523" width="20.85546875" style="2" customWidth="1"/>
    <col min="11524" max="11776" width="11.42578125" style="2"/>
    <col min="11777" max="11777" width="38.140625" style="2" bestFit="1" customWidth="1"/>
    <col min="11778" max="11779" width="20.85546875" style="2" customWidth="1"/>
    <col min="11780" max="12032" width="11.42578125" style="2"/>
    <col min="12033" max="12033" width="38.140625" style="2" bestFit="1" customWidth="1"/>
    <col min="12034" max="12035" width="20.85546875" style="2" customWidth="1"/>
    <col min="12036" max="12288" width="11.42578125" style="2"/>
    <col min="12289" max="12289" width="38.140625" style="2" bestFit="1" customWidth="1"/>
    <col min="12290" max="12291" width="20.85546875" style="2" customWidth="1"/>
    <col min="12292" max="12544" width="11.42578125" style="2"/>
    <col min="12545" max="12545" width="38.140625" style="2" bestFit="1" customWidth="1"/>
    <col min="12546" max="12547" width="20.85546875" style="2" customWidth="1"/>
    <col min="12548" max="12800" width="11.42578125" style="2"/>
    <col min="12801" max="12801" width="38.140625" style="2" bestFit="1" customWidth="1"/>
    <col min="12802" max="12803" width="20.85546875" style="2" customWidth="1"/>
    <col min="12804" max="13056" width="11.42578125" style="2"/>
    <col min="13057" max="13057" width="38.140625" style="2" bestFit="1" customWidth="1"/>
    <col min="13058" max="13059" width="20.85546875" style="2" customWidth="1"/>
    <col min="13060" max="13312" width="11.42578125" style="2"/>
    <col min="13313" max="13313" width="38.140625" style="2" bestFit="1" customWidth="1"/>
    <col min="13314" max="13315" width="20.85546875" style="2" customWidth="1"/>
    <col min="13316" max="13568" width="11.42578125" style="2"/>
    <col min="13569" max="13569" width="38.140625" style="2" bestFit="1" customWidth="1"/>
    <col min="13570" max="13571" width="20.85546875" style="2" customWidth="1"/>
    <col min="13572" max="13824" width="11.42578125" style="2"/>
    <col min="13825" max="13825" width="38.140625" style="2" bestFit="1" customWidth="1"/>
    <col min="13826" max="13827" width="20.85546875" style="2" customWidth="1"/>
    <col min="13828" max="14080" width="11.42578125" style="2"/>
    <col min="14081" max="14081" width="38.140625" style="2" bestFit="1" customWidth="1"/>
    <col min="14082" max="14083" width="20.85546875" style="2" customWidth="1"/>
    <col min="14084" max="14336" width="11.42578125" style="2"/>
    <col min="14337" max="14337" width="38.140625" style="2" bestFit="1" customWidth="1"/>
    <col min="14338" max="14339" width="20.85546875" style="2" customWidth="1"/>
    <col min="14340" max="14592" width="11.42578125" style="2"/>
    <col min="14593" max="14593" width="38.140625" style="2" bestFit="1" customWidth="1"/>
    <col min="14594" max="14595" width="20.85546875" style="2" customWidth="1"/>
    <col min="14596" max="14848" width="11.42578125" style="2"/>
    <col min="14849" max="14849" width="38.140625" style="2" bestFit="1" customWidth="1"/>
    <col min="14850" max="14851" width="20.85546875" style="2" customWidth="1"/>
    <col min="14852" max="15104" width="11.42578125" style="2"/>
    <col min="15105" max="15105" width="38.140625" style="2" bestFit="1" customWidth="1"/>
    <col min="15106" max="15107" width="20.85546875" style="2" customWidth="1"/>
    <col min="15108" max="15360" width="11.42578125" style="2"/>
    <col min="15361" max="15361" width="38.140625" style="2" bestFit="1" customWidth="1"/>
    <col min="15362" max="15363" width="20.85546875" style="2" customWidth="1"/>
    <col min="15364" max="15616" width="11.42578125" style="2"/>
    <col min="15617" max="15617" width="38.140625" style="2" bestFit="1" customWidth="1"/>
    <col min="15618" max="15619" width="20.85546875" style="2" customWidth="1"/>
    <col min="15620" max="15872" width="11.42578125" style="2"/>
    <col min="15873" max="15873" width="38.140625" style="2" bestFit="1" customWidth="1"/>
    <col min="15874" max="15875" width="20.85546875" style="2" customWidth="1"/>
    <col min="15876" max="16128" width="11.42578125" style="2"/>
    <col min="16129" max="16129" width="38.140625" style="2" bestFit="1" customWidth="1"/>
    <col min="16130" max="16131" width="20.85546875" style="2" customWidth="1"/>
    <col min="16132" max="16384" width="11.42578125" style="2"/>
  </cols>
  <sheetData>
    <row r="1" spans="1:6" ht="18" x14ac:dyDescent="0.25">
      <c r="A1" s="295" t="s">
        <v>308</v>
      </c>
      <c r="B1" s="1"/>
      <c r="C1" s="1"/>
      <c r="D1" s="1"/>
      <c r="E1" s="1"/>
      <c r="F1" s="1"/>
    </row>
    <row r="2" spans="1:6" ht="18" x14ac:dyDescent="0.25">
      <c r="A2" s="295"/>
      <c r="B2" s="1"/>
      <c r="C2" s="1"/>
      <c r="D2" s="1"/>
      <c r="E2" s="1"/>
      <c r="F2" s="1"/>
    </row>
    <row r="3" spans="1:6" x14ac:dyDescent="0.25">
      <c r="A3" s="292" t="s">
        <v>309</v>
      </c>
      <c r="B3" s="1"/>
      <c r="C3" s="1"/>
      <c r="D3" s="1"/>
      <c r="E3" s="1"/>
      <c r="F3" s="1"/>
    </row>
    <row r="4" spans="1:6" x14ac:dyDescent="0.25">
      <c r="A4" s="292"/>
      <c r="B4" s="1"/>
      <c r="C4" s="1"/>
      <c r="D4" s="1"/>
      <c r="E4" s="1"/>
      <c r="F4" s="1"/>
    </row>
    <row r="5" spans="1:6" x14ac:dyDescent="0.25">
      <c r="A5" s="319" t="s">
        <v>0</v>
      </c>
      <c r="B5" s="251" t="s">
        <v>1</v>
      </c>
      <c r="C5" s="1"/>
      <c r="D5" s="1"/>
      <c r="E5" s="1"/>
      <c r="F5" s="1"/>
    </row>
    <row r="6" spans="1:6" x14ac:dyDescent="0.25">
      <c r="A6" s="169" t="s">
        <v>337</v>
      </c>
      <c r="B6" s="320">
        <f>G34</f>
        <v>79719.12</v>
      </c>
      <c r="C6" s="1"/>
      <c r="D6" s="1"/>
      <c r="E6" s="1"/>
      <c r="F6" s="1"/>
    </row>
    <row r="7" spans="1:6" x14ac:dyDescent="0.25">
      <c r="A7" s="102" t="s">
        <v>338</v>
      </c>
      <c r="B7" s="320">
        <f>G35</f>
        <v>11957.868000000002</v>
      </c>
      <c r="C7" s="1"/>
      <c r="D7" s="1"/>
      <c r="E7" s="1"/>
      <c r="F7" s="1"/>
    </row>
    <row r="8" spans="1:6" x14ac:dyDescent="0.25">
      <c r="A8" s="102" t="s">
        <v>339</v>
      </c>
      <c r="B8" s="320">
        <f t="shared" ref="B8:B9" si="0">G36</f>
        <v>1195.7868000000003</v>
      </c>
      <c r="C8" s="1"/>
      <c r="D8" s="1"/>
      <c r="E8" s="1"/>
      <c r="F8" s="1"/>
    </row>
    <row r="9" spans="1:6" x14ac:dyDescent="0.25">
      <c r="A9" s="102" t="s">
        <v>340</v>
      </c>
      <c r="B9" s="320">
        <f t="shared" si="0"/>
        <v>1018.6332000000001</v>
      </c>
      <c r="C9" s="1"/>
      <c r="D9" s="1"/>
      <c r="E9" s="1"/>
      <c r="F9" s="1"/>
    </row>
    <row r="10" spans="1:6" x14ac:dyDescent="0.25">
      <c r="A10" s="102"/>
      <c r="B10" s="6"/>
      <c r="C10" s="1"/>
      <c r="D10" s="1"/>
      <c r="E10" s="1"/>
      <c r="F10" s="1"/>
    </row>
    <row r="11" spans="1:6" x14ac:dyDescent="0.25">
      <c r="A11" s="102" t="s">
        <v>383</v>
      </c>
      <c r="B11" s="318">
        <f>D51</f>
        <v>3.5392535450023082</v>
      </c>
      <c r="C11" s="296"/>
      <c r="D11" s="1"/>
      <c r="E11" s="1"/>
      <c r="F11" s="1"/>
    </row>
    <row r="12" spans="1:6" x14ac:dyDescent="0.25">
      <c r="A12" s="102" t="s">
        <v>384</v>
      </c>
      <c r="B12" s="318">
        <f>D52</f>
        <v>3.4412434468330138</v>
      </c>
      <c r="C12" s="296"/>
      <c r="D12" s="1"/>
      <c r="E12" s="1"/>
      <c r="F12" s="1"/>
    </row>
    <row r="13" spans="1:6" x14ac:dyDescent="0.25">
      <c r="A13" s="102" t="s">
        <v>385</v>
      </c>
      <c r="B13" s="318">
        <f>D49</f>
        <v>106.94987952884559</v>
      </c>
      <c r="C13" s="296"/>
      <c r="D13" s="1"/>
      <c r="E13" s="1"/>
      <c r="F13" s="1"/>
    </row>
    <row r="14" spans="1:6" x14ac:dyDescent="0.25">
      <c r="A14" s="103" t="s">
        <v>386</v>
      </c>
      <c r="B14" s="321">
        <f>D50</f>
        <v>39.476518032612844</v>
      </c>
      <c r="C14" s="296"/>
      <c r="D14" s="1"/>
      <c r="E14" s="1"/>
      <c r="F14" s="1"/>
    </row>
    <row r="15" spans="1:6" x14ac:dyDescent="0.25">
      <c r="A15" s="4"/>
      <c r="B15" s="5"/>
      <c r="C15" s="294"/>
      <c r="D15" s="1"/>
      <c r="E15" s="1"/>
      <c r="F15" s="1"/>
    </row>
    <row r="16" spans="1:6" x14ac:dyDescent="0.25">
      <c r="A16" s="1"/>
      <c r="B16" s="1"/>
      <c r="C16" s="1"/>
      <c r="D16" s="1"/>
      <c r="E16" s="1"/>
      <c r="F16" s="1"/>
    </row>
    <row r="17" spans="1:6" x14ac:dyDescent="0.25">
      <c r="A17" s="292" t="s">
        <v>310</v>
      </c>
      <c r="B17" s="1"/>
      <c r="C17" s="1"/>
      <c r="D17" s="1"/>
      <c r="E17" s="1"/>
      <c r="F17" s="1"/>
    </row>
    <row r="18" spans="1:6" x14ac:dyDescent="0.25">
      <c r="A18" s="1"/>
      <c r="B18" s="1"/>
      <c r="C18" s="1"/>
      <c r="D18" s="1"/>
      <c r="E18" s="1"/>
      <c r="F18" s="1"/>
    </row>
    <row r="19" spans="1:6" x14ac:dyDescent="0.25">
      <c r="A19" s="262" t="s">
        <v>311</v>
      </c>
      <c r="B19" s="262" t="s">
        <v>312</v>
      </c>
      <c r="C19" s="262" t="s">
        <v>313</v>
      </c>
      <c r="D19" s="1"/>
      <c r="E19" s="1"/>
      <c r="F19" s="1"/>
    </row>
    <row r="20" spans="1:6" x14ac:dyDescent="0.25">
      <c r="A20" s="332" t="s">
        <v>314</v>
      </c>
      <c r="B20" s="333">
        <f>B6</f>
        <v>79719.12</v>
      </c>
      <c r="C20" s="334">
        <f>B20*(B11)</f>
        <v>282146.17806446436</v>
      </c>
      <c r="D20" s="1"/>
      <c r="E20" s="1"/>
      <c r="F20" s="1"/>
    </row>
    <row r="21" spans="1:6" x14ac:dyDescent="0.25">
      <c r="A21" s="332" t="s">
        <v>315</v>
      </c>
      <c r="B21" s="333">
        <f>B7</f>
        <v>11957.868000000002</v>
      </c>
      <c r="C21" s="334">
        <f t="shared" ref="C21" si="1">B21*(B12)</f>
        <v>41149.934893094207</v>
      </c>
      <c r="D21" s="1"/>
      <c r="E21" s="1"/>
      <c r="F21" s="1"/>
    </row>
    <row r="22" spans="1:6" x14ac:dyDescent="0.25">
      <c r="A22" s="332" t="s">
        <v>329</v>
      </c>
      <c r="B22" s="333">
        <f>B8</f>
        <v>1195.7868000000003</v>
      </c>
      <c r="C22" s="334">
        <f>B22*(B13)</f>
        <v>127889.2542021838</v>
      </c>
      <c r="D22" s="1"/>
      <c r="E22" s="1"/>
      <c r="F22" s="1"/>
    </row>
    <row r="23" spans="1:6" x14ac:dyDescent="0.25">
      <c r="A23" s="335" t="s">
        <v>330</v>
      </c>
      <c r="B23" s="333">
        <f>B9</f>
        <v>1018.6332000000001</v>
      </c>
      <c r="C23" s="334">
        <f>B23*(B14)</f>
        <v>40212.09188841813</v>
      </c>
      <c r="D23" s="1"/>
      <c r="E23" s="1"/>
      <c r="F23" s="1"/>
    </row>
    <row r="24" spans="1:6" x14ac:dyDescent="0.25">
      <c r="A24" s="336" t="s">
        <v>2</v>
      </c>
      <c r="B24" s="337">
        <f>B20+B21</f>
        <v>91676.987999999998</v>
      </c>
      <c r="C24" s="338">
        <f>SUM(C20:C23)</f>
        <v>491397.45904816053</v>
      </c>
      <c r="D24" s="1"/>
      <c r="E24" s="1"/>
      <c r="F24" s="1"/>
    </row>
    <row r="25" spans="1:6" x14ac:dyDescent="0.25">
      <c r="A25" s="297"/>
      <c r="B25" s="298"/>
      <c r="C25" s="299"/>
      <c r="D25" s="1"/>
      <c r="E25" s="1"/>
      <c r="F25" s="1"/>
    </row>
    <row r="26" spans="1:6" x14ac:dyDescent="0.25">
      <c r="A26" s="1"/>
      <c r="B26" s="1"/>
      <c r="C26" s="1"/>
      <c r="D26" s="294"/>
      <c r="E26" s="1"/>
      <c r="F26" s="1"/>
    </row>
    <row r="27" spans="1:6" x14ac:dyDescent="0.25">
      <c r="A27" s="292" t="s">
        <v>3</v>
      </c>
      <c r="B27" s="1"/>
      <c r="C27" s="1"/>
      <c r="D27" s="1"/>
      <c r="E27" s="1"/>
      <c r="F27" s="1"/>
    </row>
    <row r="28" spans="1:6" ht="17.25" customHeight="1" x14ac:dyDescent="0.25">
      <c r="A28" s="365" t="s">
        <v>404</v>
      </c>
      <c r="B28" s="366"/>
      <c r="C28" s="366"/>
      <c r="D28" s="1"/>
      <c r="E28" s="1"/>
      <c r="F28" s="1"/>
    </row>
    <row r="29" spans="1:6" x14ac:dyDescent="0.25">
      <c r="A29" s="1"/>
      <c r="B29" s="1"/>
      <c r="C29" s="1"/>
      <c r="D29" s="1"/>
      <c r="E29" s="1"/>
      <c r="F29" s="1"/>
    </row>
    <row r="30" spans="1:6" x14ac:dyDescent="0.25">
      <c r="A30" s="292" t="s">
        <v>396</v>
      </c>
    </row>
    <row r="31" spans="1:6" x14ac:dyDescent="0.25">
      <c r="A31" s="292"/>
    </row>
    <row r="32" spans="1:6" ht="34.5" x14ac:dyDescent="0.25">
      <c r="A32" s="304" t="s">
        <v>387</v>
      </c>
      <c r="B32" s="308">
        <v>8517</v>
      </c>
    </row>
    <row r="33" spans="1:7" ht="54" x14ac:dyDescent="0.25">
      <c r="A33" s="316"/>
      <c r="B33" s="316" t="s">
        <v>459</v>
      </c>
      <c r="C33" s="316" t="s">
        <v>388</v>
      </c>
      <c r="D33" s="316" t="s">
        <v>389</v>
      </c>
      <c r="E33" s="316" t="s">
        <v>312</v>
      </c>
      <c r="F33" s="316" t="s">
        <v>390</v>
      </c>
      <c r="G33" s="322" t="s">
        <v>405</v>
      </c>
    </row>
    <row r="34" spans="1:7" x14ac:dyDescent="0.25">
      <c r="A34" s="4" t="s">
        <v>332</v>
      </c>
      <c r="B34" s="325">
        <v>0.72</v>
      </c>
      <c r="C34" s="317">
        <f>$B$32*B34</f>
        <v>6132.24</v>
      </c>
      <c r="D34" s="5">
        <v>5</v>
      </c>
      <c r="E34" s="317">
        <f>C34*D34*52</f>
        <v>1594382.4</v>
      </c>
      <c r="F34" s="327">
        <v>0.05</v>
      </c>
      <c r="G34" s="320">
        <f>E34*F34</f>
        <v>79719.12</v>
      </c>
    </row>
    <row r="35" spans="1:7" x14ac:dyDescent="0.25">
      <c r="A35" s="4" t="s">
        <v>333</v>
      </c>
      <c r="B35" s="325">
        <v>0.18</v>
      </c>
      <c r="C35" s="317">
        <f t="shared" ref="C35:C37" si="2">$B$32*B35</f>
        <v>1533.06</v>
      </c>
      <c r="D35" s="5">
        <v>3</v>
      </c>
      <c r="E35" s="317">
        <f t="shared" ref="E35:E37" si="3">C35*D35*52</f>
        <v>239157.36000000002</v>
      </c>
      <c r="F35" s="327">
        <v>0.05</v>
      </c>
      <c r="G35" s="320">
        <f t="shared" ref="G35:G37" si="4">E35*F35</f>
        <v>11957.868000000002</v>
      </c>
    </row>
    <row r="36" spans="1:7" x14ac:dyDescent="0.25">
      <c r="A36" s="4" t="s">
        <v>334</v>
      </c>
      <c r="B36" s="325">
        <v>0.27</v>
      </c>
      <c r="C36" s="317">
        <f t="shared" si="2"/>
        <v>2299.59</v>
      </c>
      <c r="D36" s="5">
        <v>0.2</v>
      </c>
      <c r="E36" s="317">
        <f t="shared" si="3"/>
        <v>23915.736000000004</v>
      </c>
      <c r="F36" s="327">
        <v>0.05</v>
      </c>
      <c r="G36" s="320">
        <f t="shared" si="4"/>
        <v>1195.7868000000003</v>
      </c>
    </row>
    <row r="37" spans="1:7" x14ac:dyDescent="0.25">
      <c r="A37" s="17" t="s">
        <v>335</v>
      </c>
      <c r="B37" s="326">
        <v>0.23</v>
      </c>
      <c r="C37" s="351">
        <f t="shared" si="2"/>
        <v>1958.91</v>
      </c>
      <c r="D37" s="32">
        <v>0.2</v>
      </c>
      <c r="E37" s="351">
        <f t="shared" si="3"/>
        <v>20372.664000000001</v>
      </c>
      <c r="F37" s="328">
        <v>0.05</v>
      </c>
      <c r="G37" s="329">
        <f t="shared" si="4"/>
        <v>1018.6332000000001</v>
      </c>
    </row>
    <row r="40" spans="1:7" x14ac:dyDescent="0.25">
      <c r="A40" s="292" t="s">
        <v>3</v>
      </c>
    </row>
    <row r="41" spans="1:7" x14ac:dyDescent="0.25">
      <c r="A41" s="31" t="s">
        <v>457</v>
      </c>
    </row>
    <row r="42" spans="1:7" x14ac:dyDescent="0.25">
      <c r="A42" s="31" t="s">
        <v>406</v>
      </c>
    </row>
    <row r="43" spans="1:7" x14ac:dyDescent="0.25">
      <c r="A43" s="31" t="s">
        <v>391</v>
      </c>
    </row>
    <row r="44" spans="1:7" x14ac:dyDescent="0.25">
      <c r="A44" s="31" t="s">
        <v>395</v>
      </c>
    </row>
    <row r="45" spans="1:7" x14ac:dyDescent="0.25">
      <c r="A45" s="31"/>
    </row>
    <row r="46" spans="1:7" x14ac:dyDescent="0.25">
      <c r="A46" s="292" t="s">
        <v>397</v>
      </c>
    </row>
    <row r="47" spans="1:7" x14ac:dyDescent="0.25">
      <c r="A47" s="292"/>
    </row>
    <row r="48" spans="1:7" x14ac:dyDescent="0.25">
      <c r="A48" s="316" t="s">
        <v>400</v>
      </c>
      <c r="B48" s="316" t="s">
        <v>353</v>
      </c>
      <c r="C48" s="316" t="s">
        <v>402</v>
      </c>
      <c r="D48" s="322" t="s">
        <v>392</v>
      </c>
    </row>
    <row r="49" spans="1:4" x14ac:dyDescent="0.25">
      <c r="A49" s="4" t="s">
        <v>398</v>
      </c>
      <c r="B49" s="330">
        <v>88.32</v>
      </c>
      <c r="C49" s="323">
        <f>'1-Nominal Adjustment'!F5</f>
        <v>1.2109361359697191</v>
      </c>
      <c r="D49" s="318">
        <f>B49*C49</f>
        <v>106.94987952884559</v>
      </c>
    </row>
    <row r="50" spans="1:4" x14ac:dyDescent="0.25">
      <c r="A50" s="4" t="s">
        <v>399</v>
      </c>
      <c r="B50" s="330">
        <v>32.6</v>
      </c>
      <c r="C50" s="323">
        <f>'1-Nominal Adjustment'!F5</f>
        <v>1.2109361359697191</v>
      </c>
      <c r="D50" s="318">
        <f>B50*C50</f>
        <v>39.476518032612844</v>
      </c>
    </row>
    <row r="51" spans="1:4" x14ac:dyDescent="0.25">
      <c r="A51" s="4" t="s">
        <v>393</v>
      </c>
      <c r="B51" s="330">
        <v>3.25</v>
      </c>
      <c r="C51" s="323">
        <f>'1-Nominal Adjustment'!K5</f>
        <v>1.089001090769941</v>
      </c>
      <c r="D51" s="318">
        <f>C51*B51</f>
        <v>3.5392535450023082</v>
      </c>
    </row>
    <row r="52" spans="1:4" x14ac:dyDescent="0.25">
      <c r="A52" s="17" t="s">
        <v>394</v>
      </c>
      <c r="B52" s="331">
        <v>3.16</v>
      </c>
      <c r="C52" s="324">
        <f>C51</f>
        <v>1.089001090769941</v>
      </c>
      <c r="D52" s="321">
        <f>C52*B52</f>
        <v>3.4412434468330138</v>
      </c>
    </row>
    <row r="55" spans="1:4" x14ac:dyDescent="0.25">
      <c r="A55" s="292" t="s">
        <v>3</v>
      </c>
    </row>
    <row r="56" spans="1:4" ht="15.75" customHeight="1" x14ac:dyDescent="0.25">
      <c r="A56" s="3" t="s">
        <v>401</v>
      </c>
    </row>
    <row r="57" spans="1:4" x14ac:dyDescent="0.25">
      <c r="A57" s="3" t="s">
        <v>403</v>
      </c>
    </row>
  </sheetData>
  <mergeCells count="1">
    <mergeCell ref="A28:C28"/>
  </mergeCells>
  <printOptions horizontalCentered="1"/>
  <pageMargins left="0.5" right="0.5" top="1" bottom="1" header="0.5" footer="0.5"/>
  <pageSetup scale="80" orientation="portrait" horizontalDpi="4294967292" verticalDpi="4294967292"/>
  <headerFooter alignWithMargins="0">
    <oddFooter>&amp;RPage 3-&amp;P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topLeftCell="A37" workbookViewId="0">
      <selection activeCell="A36" sqref="A36"/>
    </sheetView>
  </sheetViews>
  <sheetFormatPr defaultRowHeight="15.75" x14ac:dyDescent="0.25"/>
  <cols>
    <col min="1" max="1" width="45.42578125" style="2" bestFit="1" customWidth="1"/>
    <col min="2" max="2" width="24" style="2" bestFit="1" customWidth="1"/>
    <col min="3" max="3" width="13.42578125" style="2" customWidth="1"/>
    <col min="4" max="4" width="18.42578125" style="2" customWidth="1"/>
    <col min="5" max="256" width="11.42578125" style="2" customWidth="1"/>
    <col min="257" max="257" width="45.42578125" style="2" bestFit="1" customWidth="1"/>
    <col min="258" max="258" width="24" style="2" bestFit="1" customWidth="1"/>
    <col min="259" max="259" width="13.42578125" style="2" customWidth="1"/>
    <col min="260" max="260" width="18.42578125" style="2" customWidth="1"/>
    <col min="261" max="512" width="11.42578125" style="2" customWidth="1"/>
    <col min="513" max="513" width="45.42578125" style="2" bestFit="1" customWidth="1"/>
    <col min="514" max="514" width="24" style="2" bestFit="1" customWidth="1"/>
    <col min="515" max="515" width="13.42578125" style="2" customWidth="1"/>
    <col min="516" max="516" width="18.42578125" style="2" customWidth="1"/>
    <col min="517" max="768" width="11.42578125" style="2" customWidth="1"/>
    <col min="769" max="769" width="45.42578125" style="2" bestFit="1" customWidth="1"/>
    <col min="770" max="770" width="24" style="2" bestFit="1" customWidth="1"/>
    <col min="771" max="771" width="13.42578125" style="2" customWidth="1"/>
    <col min="772" max="772" width="18.42578125" style="2" customWidth="1"/>
    <col min="773" max="1024" width="11.42578125" style="2" customWidth="1"/>
    <col min="1025" max="1025" width="45.42578125" style="2" bestFit="1" customWidth="1"/>
    <col min="1026" max="1026" width="24" style="2" bestFit="1" customWidth="1"/>
    <col min="1027" max="1027" width="13.42578125" style="2" customWidth="1"/>
    <col min="1028" max="1028" width="18.42578125" style="2" customWidth="1"/>
    <col min="1029" max="1280" width="11.42578125" style="2" customWidth="1"/>
    <col min="1281" max="1281" width="45.42578125" style="2" bestFit="1" customWidth="1"/>
    <col min="1282" max="1282" width="24" style="2" bestFit="1" customWidth="1"/>
    <col min="1283" max="1283" width="13.42578125" style="2" customWidth="1"/>
    <col min="1284" max="1284" width="18.42578125" style="2" customWidth="1"/>
    <col min="1285" max="1536" width="11.42578125" style="2" customWidth="1"/>
    <col min="1537" max="1537" width="45.42578125" style="2" bestFit="1" customWidth="1"/>
    <col min="1538" max="1538" width="24" style="2" bestFit="1" customWidth="1"/>
    <col min="1539" max="1539" width="13.42578125" style="2" customWidth="1"/>
    <col min="1540" max="1540" width="18.42578125" style="2" customWidth="1"/>
    <col min="1541" max="1792" width="11.42578125" style="2" customWidth="1"/>
    <col min="1793" max="1793" width="45.42578125" style="2" bestFit="1" customWidth="1"/>
    <col min="1794" max="1794" width="24" style="2" bestFit="1" customWidth="1"/>
    <col min="1795" max="1795" width="13.42578125" style="2" customWidth="1"/>
    <col min="1796" max="1796" width="18.42578125" style="2" customWidth="1"/>
    <col min="1797" max="2048" width="11.42578125" style="2" customWidth="1"/>
    <col min="2049" max="2049" width="45.42578125" style="2" bestFit="1" customWidth="1"/>
    <col min="2050" max="2050" width="24" style="2" bestFit="1" customWidth="1"/>
    <col min="2051" max="2051" width="13.42578125" style="2" customWidth="1"/>
    <col min="2052" max="2052" width="18.42578125" style="2" customWidth="1"/>
    <col min="2053" max="2304" width="11.42578125" style="2" customWidth="1"/>
    <col min="2305" max="2305" width="45.42578125" style="2" bestFit="1" customWidth="1"/>
    <col min="2306" max="2306" width="24" style="2" bestFit="1" customWidth="1"/>
    <col min="2307" max="2307" width="13.42578125" style="2" customWidth="1"/>
    <col min="2308" max="2308" width="18.42578125" style="2" customWidth="1"/>
    <col min="2309" max="2560" width="11.42578125" style="2" customWidth="1"/>
    <col min="2561" max="2561" width="45.42578125" style="2" bestFit="1" customWidth="1"/>
    <col min="2562" max="2562" width="24" style="2" bestFit="1" customWidth="1"/>
    <col min="2563" max="2563" width="13.42578125" style="2" customWidth="1"/>
    <col min="2564" max="2564" width="18.42578125" style="2" customWidth="1"/>
    <col min="2565" max="2816" width="11.42578125" style="2" customWidth="1"/>
    <col min="2817" max="2817" width="45.42578125" style="2" bestFit="1" customWidth="1"/>
    <col min="2818" max="2818" width="24" style="2" bestFit="1" customWidth="1"/>
    <col min="2819" max="2819" width="13.42578125" style="2" customWidth="1"/>
    <col min="2820" max="2820" width="18.42578125" style="2" customWidth="1"/>
    <col min="2821" max="3072" width="11.42578125" style="2" customWidth="1"/>
    <col min="3073" max="3073" width="45.42578125" style="2" bestFit="1" customWidth="1"/>
    <col min="3074" max="3074" width="24" style="2" bestFit="1" customWidth="1"/>
    <col min="3075" max="3075" width="13.42578125" style="2" customWidth="1"/>
    <col min="3076" max="3076" width="18.42578125" style="2" customWidth="1"/>
    <col min="3077" max="3328" width="11.42578125" style="2" customWidth="1"/>
    <col min="3329" max="3329" width="45.42578125" style="2" bestFit="1" customWidth="1"/>
    <col min="3330" max="3330" width="24" style="2" bestFit="1" customWidth="1"/>
    <col min="3331" max="3331" width="13.42578125" style="2" customWidth="1"/>
    <col min="3332" max="3332" width="18.42578125" style="2" customWidth="1"/>
    <col min="3333" max="3584" width="11.42578125" style="2" customWidth="1"/>
    <col min="3585" max="3585" width="45.42578125" style="2" bestFit="1" customWidth="1"/>
    <col min="3586" max="3586" width="24" style="2" bestFit="1" customWidth="1"/>
    <col min="3587" max="3587" width="13.42578125" style="2" customWidth="1"/>
    <col min="3588" max="3588" width="18.42578125" style="2" customWidth="1"/>
    <col min="3589" max="3840" width="11.42578125" style="2" customWidth="1"/>
    <col min="3841" max="3841" width="45.42578125" style="2" bestFit="1" customWidth="1"/>
    <col min="3842" max="3842" width="24" style="2" bestFit="1" customWidth="1"/>
    <col min="3843" max="3843" width="13.42578125" style="2" customWidth="1"/>
    <col min="3844" max="3844" width="18.42578125" style="2" customWidth="1"/>
    <col min="3845" max="4096" width="11.42578125" style="2" customWidth="1"/>
    <col min="4097" max="4097" width="45.42578125" style="2" bestFit="1" customWidth="1"/>
    <col min="4098" max="4098" width="24" style="2" bestFit="1" customWidth="1"/>
    <col min="4099" max="4099" width="13.42578125" style="2" customWidth="1"/>
    <col min="4100" max="4100" width="18.42578125" style="2" customWidth="1"/>
    <col min="4101" max="4352" width="11.42578125" style="2" customWidth="1"/>
    <col min="4353" max="4353" width="45.42578125" style="2" bestFit="1" customWidth="1"/>
    <col min="4354" max="4354" width="24" style="2" bestFit="1" customWidth="1"/>
    <col min="4355" max="4355" width="13.42578125" style="2" customWidth="1"/>
    <col min="4356" max="4356" width="18.42578125" style="2" customWidth="1"/>
    <col min="4357" max="4608" width="11.42578125" style="2" customWidth="1"/>
    <col min="4609" max="4609" width="45.42578125" style="2" bestFit="1" customWidth="1"/>
    <col min="4610" max="4610" width="24" style="2" bestFit="1" customWidth="1"/>
    <col min="4611" max="4611" width="13.42578125" style="2" customWidth="1"/>
    <col min="4612" max="4612" width="18.42578125" style="2" customWidth="1"/>
    <col min="4613" max="4864" width="11.42578125" style="2" customWidth="1"/>
    <col min="4865" max="4865" width="45.42578125" style="2" bestFit="1" customWidth="1"/>
    <col min="4866" max="4866" width="24" style="2" bestFit="1" customWidth="1"/>
    <col min="4867" max="4867" width="13.42578125" style="2" customWidth="1"/>
    <col min="4868" max="4868" width="18.42578125" style="2" customWidth="1"/>
    <col min="4869" max="5120" width="11.42578125" style="2" customWidth="1"/>
    <col min="5121" max="5121" width="45.42578125" style="2" bestFit="1" customWidth="1"/>
    <col min="5122" max="5122" width="24" style="2" bestFit="1" customWidth="1"/>
    <col min="5123" max="5123" width="13.42578125" style="2" customWidth="1"/>
    <col min="5124" max="5124" width="18.42578125" style="2" customWidth="1"/>
    <col min="5125" max="5376" width="11.42578125" style="2" customWidth="1"/>
    <col min="5377" max="5377" width="45.42578125" style="2" bestFit="1" customWidth="1"/>
    <col min="5378" max="5378" width="24" style="2" bestFit="1" customWidth="1"/>
    <col min="5379" max="5379" width="13.42578125" style="2" customWidth="1"/>
    <col min="5380" max="5380" width="18.42578125" style="2" customWidth="1"/>
    <col min="5381" max="5632" width="11.42578125" style="2" customWidth="1"/>
    <col min="5633" max="5633" width="45.42578125" style="2" bestFit="1" customWidth="1"/>
    <col min="5634" max="5634" width="24" style="2" bestFit="1" customWidth="1"/>
    <col min="5635" max="5635" width="13.42578125" style="2" customWidth="1"/>
    <col min="5636" max="5636" width="18.42578125" style="2" customWidth="1"/>
    <col min="5637" max="5888" width="11.42578125" style="2" customWidth="1"/>
    <col min="5889" max="5889" width="45.42578125" style="2" bestFit="1" customWidth="1"/>
    <col min="5890" max="5890" width="24" style="2" bestFit="1" customWidth="1"/>
    <col min="5891" max="5891" width="13.42578125" style="2" customWidth="1"/>
    <col min="5892" max="5892" width="18.42578125" style="2" customWidth="1"/>
    <col min="5893" max="6144" width="11.42578125" style="2" customWidth="1"/>
    <col min="6145" max="6145" width="45.42578125" style="2" bestFit="1" customWidth="1"/>
    <col min="6146" max="6146" width="24" style="2" bestFit="1" customWidth="1"/>
    <col min="6147" max="6147" width="13.42578125" style="2" customWidth="1"/>
    <col min="6148" max="6148" width="18.42578125" style="2" customWidth="1"/>
    <col min="6149" max="6400" width="11.42578125" style="2" customWidth="1"/>
    <col min="6401" max="6401" width="45.42578125" style="2" bestFit="1" customWidth="1"/>
    <col min="6402" max="6402" width="24" style="2" bestFit="1" customWidth="1"/>
    <col min="6403" max="6403" width="13.42578125" style="2" customWidth="1"/>
    <col min="6404" max="6404" width="18.42578125" style="2" customWidth="1"/>
    <col min="6405" max="6656" width="11.42578125" style="2" customWidth="1"/>
    <col min="6657" max="6657" width="45.42578125" style="2" bestFit="1" customWidth="1"/>
    <col min="6658" max="6658" width="24" style="2" bestFit="1" customWidth="1"/>
    <col min="6659" max="6659" width="13.42578125" style="2" customWidth="1"/>
    <col min="6660" max="6660" width="18.42578125" style="2" customWidth="1"/>
    <col min="6661" max="6912" width="11.42578125" style="2" customWidth="1"/>
    <col min="6913" max="6913" width="45.42578125" style="2" bestFit="1" customWidth="1"/>
    <col min="6914" max="6914" width="24" style="2" bestFit="1" customWidth="1"/>
    <col min="6915" max="6915" width="13.42578125" style="2" customWidth="1"/>
    <col min="6916" max="6916" width="18.42578125" style="2" customWidth="1"/>
    <col min="6917" max="7168" width="11.42578125" style="2" customWidth="1"/>
    <col min="7169" max="7169" width="45.42578125" style="2" bestFit="1" customWidth="1"/>
    <col min="7170" max="7170" width="24" style="2" bestFit="1" customWidth="1"/>
    <col min="7171" max="7171" width="13.42578125" style="2" customWidth="1"/>
    <col min="7172" max="7172" width="18.42578125" style="2" customWidth="1"/>
    <col min="7173" max="7424" width="11.42578125" style="2" customWidth="1"/>
    <col min="7425" max="7425" width="45.42578125" style="2" bestFit="1" customWidth="1"/>
    <col min="7426" max="7426" width="24" style="2" bestFit="1" customWidth="1"/>
    <col min="7427" max="7427" width="13.42578125" style="2" customWidth="1"/>
    <col min="7428" max="7428" width="18.42578125" style="2" customWidth="1"/>
    <col min="7429" max="7680" width="11.42578125" style="2" customWidth="1"/>
    <col min="7681" max="7681" width="45.42578125" style="2" bestFit="1" customWidth="1"/>
    <col min="7682" max="7682" width="24" style="2" bestFit="1" customWidth="1"/>
    <col min="7683" max="7683" width="13.42578125" style="2" customWidth="1"/>
    <col min="7684" max="7684" width="18.42578125" style="2" customWidth="1"/>
    <col min="7685" max="7936" width="11.42578125" style="2" customWidth="1"/>
    <col min="7937" max="7937" width="45.42578125" style="2" bestFit="1" customWidth="1"/>
    <col min="7938" max="7938" width="24" style="2" bestFit="1" customWidth="1"/>
    <col min="7939" max="7939" width="13.42578125" style="2" customWidth="1"/>
    <col min="7940" max="7940" width="18.42578125" style="2" customWidth="1"/>
    <col min="7941" max="8192" width="11.42578125" style="2" customWidth="1"/>
    <col min="8193" max="8193" width="45.42578125" style="2" bestFit="1" customWidth="1"/>
    <col min="8194" max="8194" width="24" style="2" bestFit="1" customWidth="1"/>
    <col min="8195" max="8195" width="13.42578125" style="2" customWidth="1"/>
    <col min="8196" max="8196" width="18.42578125" style="2" customWidth="1"/>
    <col min="8197" max="8448" width="11.42578125" style="2" customWidth="1"/>
    <col min="8449" max="8449" width="45.42578125" style="2" bestFit="1" customWidth="1"/>
    <col min="8450" max="8450" width="24" style="2" bestFit="1" customWidth="1"/>
    <col min="8451" max="8451" width="13.42578125" style="2" customWidth="1"/>
    <col min="8452" max="8452" width="18.42578125" style="2" customWidth="1"/>
    <col min="8453" max="8704" width="11.42578125" style="2" customWidth="1"/>
    <col min="8705" max="8705" width="45.42578125" style="2" bestFit="1" customWidth="1"/>
    <col min="8706" max="8706" width="24" style="2" bestFit="1" customWidth="1"/>
    <col min="8707" max="8707" width="13.42578125" style="2" customWidth="1"/>
    <col min="8708" max="8708" width="18.42578125" style="2" customWidth="1"/>
    <col min="8709" max="8960" width="11.42578125" style="2" customWidth="1"/>
    <col min="8961" max="8961" width="45.42578125" style="2" bestFit="1" customWidth="1"/>
    <col min="8962" max="8962" width="24" style="2" bestFit="1" customWidth="1"/>
    <col min="8963" max="8963" width="13.42578125" style="2" customWidth="1"/>
    <col min="8964" max="8964" width="18.42578125" style="2" customWidth="1"/>
    <col min="8965" max="9216" width="11.42578125" style="2" customWidth="1"/>
    <col min="9217" max="9217" width="45.42578125" style="2" bestFit="1" customWidth="1"/>
    <col min="9218" max="9218" width="24" style="2" bestFit="1" customWidth="1"/>
    <col min="9219" max="9219" width="13.42578125" style="2" customWidth="1"/>
    <col min="9220" max="9220" width="18.42578125" style="2" customWidth="1"/>
    <col min="9221" max="9472" width="11.42578125" style="2" customWidth="1"/>
    <col min="9473" max="9473" width="45.42578125" style="2" bestFit="1" customWidth="1"/>
    <col min="9474" max="9474" width="24" style="2" bestFit="1" customWidth="1"/>
    <col min="9475" max="9475" width="13.42578125" style="2" customWidth="1"/>
    <col min="9476" max="9476" width="18.42578125" style="2" customWidth="1"/>
    <col min="9477" max="9728" width="11.42578125" style="2" customWidth="1"/>
    <col min="9729" max="9729" width="45.42578125" style="2" bestFit="1" customWidth="1"/>
    <col min="9730" max="9730" width="24" style="2" bestFit="1" customWidth="1"/>
    <col min="9731" max="9731" width="13.42578125" style="2" customWidth="1"/>
    <col min="9732" max="9732" width="18.42578125" style="2" customWidth="1"/>
    <col min="9733" max="9984" width="11.42578125" style="2" customWidth="1"/>
    <col min="9985" max="9985" width="45.42578125" style="2" bestFit="1" customWidth="1"/>
    <col min="9986" max="9986" width="24" style="2" bestFit="1" customWidth="1"/>
    <col min="9987" max="9987" width="13.42578125" style="2" customWidth="1"/>
    <col min="9988" max="9988" width="18.42578125" style="2" customWidth="1"/>
    <col min="9989" max="10240" width="11.42578125" style="2" customWidth="1"/>
    <col min="10241" max="10241" width="45.42578125" style="2" bestFit="1" customWidth="1"/>
    <col min="10242" max="10242" width="24" style="2" bestFit="1" customWidth="1"/>
    <col min="10243" max="10243" width="13.42578125" style="2" customWidth="1"/>
    <col min="10244" max="10244" width="18.42578125" style="2" customWidth="1"/>
    <col min="10245" max="10496" width="11.42578125" style="2" customWidth="1"/>
    <col min="10497" max="10497" width="45.42578125" style="2" bestFit="1" customWidth="1"/>
    <col min="10498" max="10498" width="24" style="2" bestFit="1" customWidth="1"/>
    <col min="10499" max="10499" width="13.42578125" style="2" customWidth="1"/>
    <col min="10500" max="10500" width="18.42578125" style="2" customWidth="1"/>
    <col min="10501" max="10752" width="11.42578125" style="2" customWidth="1"/>
    <col min="10753" max="10753" width="45.42578125" style="2" bestFit="1" customWidth="1"/>
    <col min="10754" max="10754" width="24" style="2" bestFit="1" customWidth="1"/>
    <col min="10755" max="10755" width="13.42578125" style="2" customWidth="1"/>
    <col min="10756" max="10756" width="18.42578125" style="2" customWidth="1"/>
    <col min="10757" max="11008" width="11.42578125" style="2" customWidth="1"/>
    <col min="11009" max="11009" width="45.42578125" style="2" bestFit="1" customWidth="1"/>
    <col min="11010" max="11010" width="24" style="2" bestFit="1" customWidth="1"/>
    <col min="11011" max="11011" width="13.42578125" style="2" customWidth="1"/>
    <col min="11012" max="11012" width="18.42578125" style="2" customWidth="1"/>
    <col min="11013" max="11264" width="11.42578125" style="2" customWidth="1"/>
    <col min="11265" max="11265" width="45.42578125" style="2" bestFit="1" customWidth="1"/>
    <col min="11266" max="11266" width="24" style="2" bestFit="1" customWidth="1"/>
    <col min="11267" max="11267" width="13.42578125" style="2" customWidth="1"/>
    <col min="11268" max="11268" width="18.42578125" style="2" customWidth="1"/>
    <col min="11269" max="11520" width="11.42578125" style="2" customWidth="1"/>
    <col min="11521" max="11521" width="45.42578125" style="2" bestFit="1" customWidth="1"/>
    <col min="11522" max="11522" width="24" style="2" bestFit="1" customWidth="1"/>
    <col min="11523" max="11523" width="13.42578125" style="2" customWidth="1"/>
    <col min="11524" max="11524" width="18.42578125" style="2" customWidth="1"/>
    <col min="11525" max="11776" width="11.42578125" style="2" customWidth="1"/>
    <col min="11777" max="11777" width="45.42578125" style="2" bestFit="1" customWidth="1"/>
    <col min="11778" max="11778" width="24" style="2" bestFit="1" customWidth="1"/>
    <col min="11779" max="11779" width="13.42578125" style="2" customWidth="1"/>
    <col min="11780" max="11780" width="18.42578125" style="2" customWidth="1"/>
    <col min="11781" max="12032" width="11.42578125" style="2" customWidth="1"/>
    <col min="12033" max="12033" width="45.42578125" style="2" bestFit="1" customWidth="1"/>
    <col min="12034" max="12034" width="24" style="2" bestFit="1" customWidth="1"/>
    <col min="12035" max="12035" width="13.42578125" style="2" customWidth="1"/>
    <col min="12036" max="12036" width="18.42578125" style="2" customWidth="1"/>
    <col min="12037" max="12288" width="11.42578125" style="2" customWidth="1"/>
    <col min="12289" max="12289" width="45.42578125" style="2" bestFit="1" customWidth="1"/>
    <col min="12290" max="12290" width="24" style="2" bestFit="1" customWidth="1"/>
    <col min="12291" max="12291" width="13.42578125" style="2" customWidth="1"/>
    <col min="12292" max="12292" width="18.42578125" style="2" customWidth="1"/>
    <col min="12293" max="12544" width="11.42578125" style="2" customWidth="1"/>
    <col min="12545" max="12545" width="45.42578125" style="2" bestFit="1" customWidth="1"/>
    <col min="12546" max="12546" width="24" style="2" bestFit="1" customWidth="1"/>
    <col min="12547" max="12547" width="13.42578125" style="2" customWidth="1"/>
    <col min="12548" max="12548" width="18.42578125" style="2" customWidth="1"/>
    <col min="12549" max="12800" width="11.42578125" style="2" customWidth="1"/>
    <col min="12801" max="12801" width="45.42578125" style="2" bestFit="1" customWidth="1"/>
    <col min="12802" max="12802" width="24" style="2" bestFit="1" customWidth="1"/>
    <col min="12803" max="12803" width="13.42578125" style="2" customWidth="1"/>
    <col min="12804" max="12804" width="18.42578125" style="2" customWidth="1"/>
    <col min="12805" max="13056" width="11.42578125" style="2" customWidth="1"/>
    <col min="13057" max="13057" width="45.42578125" style="2" bestFit="1" customWidth="1"/>
    <col min="13058" max="13058" width="24" style="2" bestFit="1" customWidth="1"/>
    <col min="13059" max="13059" width="13.42578125" style="2" customWidth="1"/>
    <col min="13060" max="13060" width="18.42578125" style="2" customWidth="1"/>
    <col min="13061" max="13312" width="11.42578125" style="2" customWidth="1"/>
    <col min="13313" max="13313" width="45.42578125" style="2" bestFit="1" customWidth="1"/>
    <col min="13314" max="13314" width="24" style="2" bestFit="1" customWidth="1"/>
    <col min="13315" max="13315" width="13.42578125" style="2" customWidth="1"/>
    <col min="13316" max="13316" width="18.42578125" style="2" customWidth="1"/>
    <col min="13317" max="13568" width="11.42578125" style="2" customWidth="1"/>
    <col min="13569" max="13569" width="45.42578125" style="2" bestFit="1" customWidth="1"/>
    <col min="13570" max="13570" width="24" style="2" bestFit="1" customWidth="1"/>
    <col min="13571" max="13571" width="13.42578125" style="2" customWidth="1"/>
    <col min="13572" max="13572" width="18.42578125" style="2" customWidth="1"/>
    <col min="13573" max="13824" width="11.42578125" style="2" customWidth="1"/>
    <col min="13825" max="13825" width="45.42578125" style="2" bestFit="1" customWidth="1"/>
    <col min="13826" max="13826" width="24" style="2" bestFit="1" customWidth="1"/>
    <col min="13827" max="13827" width="13.42578125" style="2" customWidth="1"/>
    <col min="13828" max="13828" width="18.42578125" style="2" customWidth="1"/>
    <col min="13829" max="14080" width="11.42578125" style="2" customWidth="1"/>
    <col min="14081" max="14081" width="45.42578125" style="2" bestFit="1" customWidth="1"/>
    <col min="14082" max="14082" width="24" style="2" bestFit="1" customWidth="1"/>
    <col min="14083" max="14083" width="13.42578125" style="2" customWidth="1"/>
    <col min="14084" max="14084" width="18.42578125" style="2" customWidth="1"/>
    <col min="14085" max="14336" width="11.42578125" style="2" customWidth="1"/>
    <col min="14337" max="14337" width="45.42578125" style="2" bestFit="1" customWidth="1"/>
    <col min="14338" max="14338" width="24" style="2" bestFit="1" customWidth="1"/>
    <col min="14339" max="14339" width="13.42578125" style="2" customWidth="1"/>
    <col min="14340" max="14340" width="18.42578125" style="2" customWidth="1"/>
    <col min="14341" max="14592" width="11.42578125" style="2" customWidth="1"/>
    <col min="14593" max="14593" width="45.42578125" style="2" bestFit="1" customWidth="1"/>
    <col min="14594" max="14594" width="24" style="2" bestFit="1" customWidth="1"/>
    <col min="14595" max="14595" width="13.42578125" style="2" customWidth="1"/>
    <col min="14596" max="14596" width="18.42578125" style="2" customWidth="1"/>
    <col min="14597" max="14848" width="11.42578125" style="2" customWidth="1"/>
    <col min="14849" max="14849" width="45.42578125" style="2" bestFit="1" customWidth="1"/>
    <col min="14850" max="14850" width="24" style="2" bestFit="1" customWidth="1"/>
    <col min="14851" max="14851" width="13.42578125" style="2" customWidth="1"/>
    <col min="14852" max="14852" width="18.42578125" style="2" customWidth="1"/>
    <col min="14853" max="15104" width="11.42578125" style="2" customWidth="1"/>
    <col min="15105" max="15105" width="45.42578125" style="2" bestFit="1" customWidth="1"/>
    <col min="15106" max="15106" width="24" style="2" bestFit="1" customWidth="1"/>
    <col min="15107" max="15107" width="13.42578125" style="2" customWidth="1"/>
    <col min="15108" max="15108" width="18.42578125" style="2" customWidth="1"/>
    <col min="15109" max="15360" width="11.42578125" style="2" customWidth="1"/>
    <col min="15361" max="15361" width="45.42578125" style="2" bestFit="1" customWidth="1"/>
    <col min="15362" max="15362" width="24" style="2" bestFit="1" customWidth="1"/>
    <col min="15363" max="15363" width="13.42578125" style="2" customWidth="1"/>
    <col min="15364" max="15364" width="18.42578125" style="2" customWidth="1"/>
    <col min="15365" max="15616" width="11.42578125" style="2" customWidth="1"/>
    <col min="15617" max="15617" width="45.42578125" style="2" bestFit="1" customWidth="1"/>
    <col min="15618" max="15618" width="24" style="2" bestFit="1" customWidth="1"/>
    <col min="15619" max="15619" width="13.42578125" style="2" customWidth="1"/>
    <col min="15620" max="15620" width="18.42578125" style="2" customWidth="1"/>
    <col min="15621" max="15872" width="11.42578125" style="2" customWidth="1"/>
    <col min="15873" max="15873" width="45.42578125" style="2" bestFit="1" customWidth="1"/>
    <col min="15874" max="15874" width="24" style="2" bestFit="1" customWidth="1"/>
    <col min="15875" max="15875" width="13.42578125" style="2" customWidth="1"/>
    <col min="15876" max="15876" width="18.42578125" style="2" customWidth="1"/>
    <col min="15877" max="16128" width="11.42578125" style="2" customWidth="1"/>
    <col min="16129" max="16129" width="45.42578125" style="2" bestFit="1" customWidth="1"/>
    <col min="16130" max="16130" width="24" style="2" bestFit="1" customWidth="1"/>
    <col min="16131" max="16131" width="13.42578125" style="2" customWidth="1"/>
    <col min="16132" max="16132" width="18.42578125" style="2" customWidth="1"/>
    <col min="16133" max="16384" width="11.42578125" style="2" customWidth="1"/>
  </cols>
  <sheetData>
    <row r="1" spans="1:8" ht="18" x14ac:dyDescent="0.25">
      <c r="A1" s="295" t="s">
        <v>316</v>
      </c>
      <c r="B1" s="1"/>
      <c r="C1" s="1"/>
      <c r="D1" s="1"/>
      <c r="E1" s="1"/>
      <c r="F1" s="1"/>
      <c r="G1" s="1"/>
      <c r="H1" s="1"/>
    </row>
    <row r="2" spans="1:8" x14ac:dyDescent="0.25">
      <c r="A2" s="1"/>
      <c r="B2" s="1"/>
      <c r="C2" s="1"/>
      <c r="D2" s="1"/>
      <c r="E2" s="1"/>
      <c r="F2" s="1"/>
      <c r="G2" s="1"/>
      <c r="H2" s="1"/>
    </row>
    <row r="3" spans="1:8" x14ac:dyDescent="0.25">
      <c r="A3" s="292" t="s">
        <v>317</v>
      </c>
      <c r="B3" s="1"/>
      <c r="C3" s="1"/>
      <c r="D3" s="1"/>
      <c r="E3" s="1"/>
      <c r="F3" s="1"/>
      <c r="G3" s="1"/>
      <c r="H3" s="1"/>
    </row>
    <row r="4" spans="1:8" x14ac:dyDescent="0.25">
      <c r="A4" s="292"/>
      <c r="B4" s="1"/>
      <c r="C4" s="1"/>
      <c r="D4" s="1"/>
      <c r="E4" s="1"/>
      <c r="F4" s="1"/>
      <c r="G4" s="1"/>
      <c r="H4" s="1"/>
    </row>
    <row r="5" spans="1:8" x14ac:dyDescent="0.25">
      <c r="A5" s="316" t="s">
        <v>0</v>
      </c>
      <c r="B5" s="316" t="s">
        <v>1</v>
      </c>
      <c r="C5" s="1"/>
      <c r="D5" s="1"/>
      <c r="E5" s="1"/>
      <c r="F5" s="1"/>
      <c r="G5" s="1"/>
      <c r="H5" s="1"/>
    </row>
    <row r="6" spans="1:8" x14ac:dyDescent="0.25">
      <c r="A6" s="4" t="s">
        <v>407</v>
      </c>
      <c r="B6" s="33">
        <f>E40</f>
        <v>306.61200000000002</v>
      </c>
      <c r="C6" s="5"/>
      <c r="D6" s="5"/>
      <c r="E6" s="1"/>
      <c r="F6" s="1"/>
      <c r="G6" s="1"/>
      <c r="H6" s="1"/>
    </row>
    <row r="7" spans="1:8" x14ac:dyDescent="0.25">
      <c r="A7" s="4" t="s">
        <v>408</v>
      </c>
      <c r="B7" s="33">
        <f>E41</f>
        <v>76.653000000000006</v>
      </c>
      <c r="C7" s="5"/>
      <c r="D7" s="5"/>
      <c r="E7" s="1"/>
      <c r="F7" s="1"/>
      <c r="G7" s="1"/>
      <c r="H7" s="1"/>
    </row>
    <row r="8" spans="1:8" x14ac:dyDescent="0.25">
      <c r="A8" s="4" t="s">
        <v>318</v>
      </c>
      <c r="B8" s="6">
        <f>B6+B7</f>
        <v>383.26500000000004</v>
      </c>
      <c r="C8" s="5"/>
      <c r="D8" s="5"/>
      <c r="E8" s="1"/>
      <c r="F8" s="1"/>
      <c r="G8" s="1"/>
      <c r="H8" s="1"/>
    </row>
    <row r="9" spans="1:8" x14ac:dyDescent="0.25">
      <c r="A9" s="4"/>
      <c r="B9" s="6"/>
      <c r="C9" s="5"/>
      <c r="D9" s="5"/>
      <c r="E9" s="1"/>
      <c r="F9" s="1"/>
      <c r="G9" s="1"/>
      <c r="H9" s="1"/>
    </row>
    <row r="10" spans="1:8" x14ac:dyDescent="0.25">
      <c r="A10" s="4" t="s">
        <v>409</v>
      </c>
      <c r="B10" s="90">
        <v>0.6</v>
      </c>
      <c r="C10" s="5"/>
      <c r="D10" s="5"/>
      <c r="E10" s="1"/>
      <c r="F10" s="1"/>
      <c r="G10" s="1"/>
      <c r="H10" s="1"/>
    </row>
    <row r="11" spans="1:8" x14ac:dyDescent="0.25">
      <c r="A11" s="4"/>
      <c r="B11" s="6"/>
      <c r="C11" s="5"/>
      <c r="D11" s="5"/>
      <c r="E11" s="1"/>
      <c r="F11" s="1"/>
      <c r="G11" s="1"/>
      <c r="H11" s="1"/>
    </row>
    <row r="12" spans="1:8" x14ac:dyDescent="0.25">
      <c r="A12" s="37" t="s">
        <v>319</v>
      </c>
      <c r="B12" s="339">
        <f>B8*B10</f>
        <v>229.95900000000003</v>
      </c>
      <c r="C12" s="5"/>
      <c r="D12" s="5"/>
      <c r="E12" s="1"/>
      <c r="F12" s="300"/>
      <c r="G12" s="300"/>
      <c r="H12" s="1"/>
    </row>
    <row r="13" spans="1:8" x14ac:dyDescent="0.25">
      <c r="A13" s="31"/>
      <c r="B13" s="39"/>
      <c r="C13" s="5"/>
      <c r="D13" s="5"/>
      <c r="E13" s="1"/>
      <c r="F13" s="300"/>
      <c r="G13" s="300"/>
      <c r="H13" s="1"/>
    </row>
    <row r="14" spans="1:8" s="301" customFormat="1" x14ac:dyDescent="0.25">
      <c r="A14" s="31"/>
      <c r="B14" s="39"/>
      <c r="C14" s="31"/>
      <c r="D14" s="31"/>
      <c r="E14" s="294"/>
      <c r="F14" s="294"/>
      <c r="G14" s="294"/>
      <c r="H14" s="294"/>
    </row>
    <row r="15" spans="1:8" x14ac:dyDescent="0.25">
      <c r="A15" s="292" t="s">
        <v>320</v>
      </c>
      <c r="B15" s="5"/>
      <c r="C15" s="5"/>
      <c r="D15" s="5"/>
      <c r="E15" s="1"/>
      <c r="F15" s="1"/>
      <c r="G15" s="1"/>
      <c r="H15" s="1"/>
    </row>
    <row r="16" spans="1:8" x14ac:dyDescent="0.25">
      <c r="A16" s="5"/>
      <c r="B16" s="5"/>
      <c r="C16" s="5"/>
      <c r="D16" s="5"/>
      <c r="E16" s="1"/>
      <c r="F16" s="1"/>
      <c r="G16" s="1"/>
      <c r="H16" s="1"/>
    </row>
    <row r="17" spans="1:8" ht="26.25" x14ac:dyDescent="0.25">
      <c r="A17" s="316" t="s">
        <v>0</v>
      </c>
      <c r="B17" s="316" t="s">
        <v>321</v>
      </c>
      <c r="C17" s="316" t="s">
        <v>322</v>
      </c>
      <c r="D17" s="316" t="s">
        <v>341</v>
      </c>
      <c r="E17" s="1"/>
      <c r="F17" s="1"/>
      <c r="G17" s="1"/>
      <c r="H17" s="1"/>
    </row>
    <row r="18" spans="1:8" x14ac:dyDescent="0.25">
      <c r="A18" s="4" t="s">
        <v>410</v>
      </c>
      <c r="B18" s="22">
        <v>475</v>
      </c>
      <c r="C18" s="22">
        <f>B18*B12</f>
        <v>109230.52500000001</v>
      </c>
      <c r="D18" s="23">
        <f>C18*0.41</f>
        <v>44784.515250000004</v>
      </c>
      <c r="E18" s="1"/>
      <c r="F18" s="1"/>
      <c r="G18" s="1"/>
      <c r="H18" s="1"/>
    </row>
    <row r="19" spans="1:8" x14ac:dyDescent="0.25">
      <c r="A19" s="4" t="s">
        <v>411</v>
      </c>
      <c r="B19" s="22">
        <v>1425</v>
      </c>
      <c r="C19" s="22">
        <f>B19*B12</f>
        <v>327691.57500000007</v>
      </c>
      <c r="D19" s="23">
        <f t="shared" ref="D19:D26" si="0">C19*0.41</f>
        <v>134353.54575000002</v>
      </c>
      <c r="E19" s="1"/>
      <c r="F19" s="1"/>
      <c r="G19" s="1"/>
      <c r="H19" s="1"/>
    </row>
    <row r="20" spans="1:8" x14ac:dyDescent="0.25">
      <c r="A20" s="4"/>
      <c r="B20" s="22"/>
      <c r="C20" s="22"/>
      <c r="D20" s="23"/>
      <c r="E20" s="1"/>
      <c r="F20" s="1"/>
      <c r="G20" s="1"/>
      <c r="H20" s="1"/>
    </row>
    <row r="21" spans="1:8" x14ac:dyDescent="0.25">
      <c r="A21" s="4" t="s">
        <v>412</v>
      </c>
      <c r="B21" s="22">
        <v>10</v>
      </c>
      <c r="C21" s="22">
        <f>B12*B21</f>
        <v>2299.59</v>
      </c>
      <c r="D21" s="23">
        <f t="shared" si="0"/>
        <v>942.83190000000002</v>
      </c>
      <c r="E21" s="1"/>
      <c r="F21" s="1"/>
      <c r="G21" s="1"/>
      <c r="H21" s="1"/>
    </row>
    <row r="22" spans="1:8" x14ac:dyDescent="0.25">
      <c r="A22" s="4" t="s">
        <v>413</v>
      </c>
      <c r="B22" s="22">
        <v>40</v>
      </c>
      <c r="C22" s="22">
        <f>B12*B22</f>
        <v>9198.36</v>
      </c>
      <c r="D22" s="23">
        <f t="shared" si="0"/>
        <v>3771.3276000000001</v>
      </c>
      <c r="E22" s="1"/>
      <c r="F22" s="1"/>
      <c r="G22" s="1"/>
      <c r="H22" s="1"/>
    </row>
    <row r="23" spans="1:8" x14ac:dyDescent="0.25">
      <c r="A23" s="4"/>
      <c r="B23" s="22"/>
      <c r="C23" s="22"/>
      <c r="D23" s="23"/>
      <c r="E23" s="1"/>
      <c r="F23" s="1"/>
      <c r="G23" s="1"/>
      <c r="H23" s="1"/>
    </row>
    <row r="24" spans="1:8" x14ac:dyDescent="0.25">
      <c r="A24" s="4" t="s">
        <v>414</v>
      </c>
      <c r="B24" s="22">
        <v>1918</v>
      </c>
      <c r="C24" s="22">
        <f>B12*B24</f>
        <v>441061.36200000008</v>
      </c>
      <c r="D24" s="23">
        <f t="shared" si="0"/>
        <v>180835.15842000002</v>
      </c>
      <c r="E24" s="1"/>
      <c r="F24" s="1"/>
      <c r="G24" s="1"/>
      <c r="H24" s="1"/>
    </row>
    <row r="25" spans="1:8" x14ac:dyDescent="0.25">
      <c r="A25" s="4"/>
      <c r="B25" s="22"/>
      <c r="C25" s="22"/>
      <c r="D25" s="23"/>
      <c r="E25" s="1"/>
      <c r="F25" s="1"/>
      <c r="G25" s="1"/>
      <c r="H25" s="1"/>
    </row>
    <row r="26" spans="1:8" x14ac:dyDescent="0.25">
      <c r="A26" s="26" t="s">
        <v>2</v>
      </c>
      <c r="B26" s="28">
        <f>SUM(B18:B24)</f>
        <v>3868</v>
      </c>
      <c r="C26" s="28">
        <f>SUM(C18:C24)</f>
        <v>889481.41200000024</v>
      </c>
      <c r="D26" s="29">
        <f t="shared" si="0"/>
        <v>364687.3789200001</v>
      </c>
      <c r="E26" s="1"/>
      <c r="F26" s="302"/>
      <c r="G26" s="302"/>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292" t="s">
        <v>3</v>
      </c>
      <c r="B29" s="1"/>
      <c r="C29" s="1"/>
      <c r="D29" s="1"/>
      <c r="E29" s="1"/>
      <c r="F29" s="1"/>
      <c r="G29" s="1"/>
      <c r="H29" s="1"/>
    </row>
    <row r="30" spans="1:8" ht="18.75" customHeight="1" x14ac:dyDescent="0.25">
      <c r="A30" s="365" t="s">
        <v>415</v>
      </c>
      <c r="B30" s="366"/>
      <c r="C30" s="366"/>
      <c r="D30" s="366"/>
      <c r="E30" s="1"/>
      <c r="F30" s="1"/>
      <c r="G30" s="1"/>
      <c r="H30" s="1"/>
    </row>
    <row r="31" spans="1:8" s="304" customFormat="1" ht="33" customHeight="1" x14ac:dyDescent="0.25">
      <c r="A31" s="365" t="s">
        <v>416</v>
      </c>
      <c r="B31" s="366"/>
      <c r="C31" s="366"/>
      <c r="D31" s="366"/>
      <c r="E31" s="303"/>
      <c r="F31" s="303"/>
      <c r="G31" s="303"/>
      <c r="H31" s="303"/>
    </row>
    <row r="32" spans="1:8" s="304" customFormat="1" ht="34.5" customHeight="1" x14ac:dyDescent="0.25">
      <c r="A32" s="365" t="s">
        <v>417</v>
      </c>
      <c r="B32" s="366"/>
      <c r="C32" s="366"/>
      <c r="D32" s="366"/>
      <c r="E32" s="303"/>
      <c r="F32" s="303"/>
      <c r="G32" s="303"/>
      <c r="H32" s="303"/>
    </row>
    <row r="33" spans="1:8" ht="45.75" customHeight="1" x14ac:dyDescent="0.25">
      <c r="A33" s="365" t="s">
        <v>418</v>
      </c>
      <c r="B33" s="366"/>
      <c r="C33" s="366"/>
      <c r="D33" s="366"/>
      <c r="E33" s="303"/>
      <c r="F33" s="303"/>
      <c r="G33" s="303"/>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292" t="s">
        <v>465</v>
      </c>
      <c r="B36" s="1"/>
      <c r="C36" s="1"/>
      <c r="D36" s="1"/>
      <c r="E36" s="1"/>
      <c r="F36" s="1"/>
      <c r="G36" s="1"/>
      <c r="H36" s="1"/>
    </row>
    <row r="37" spans="1:8" x14ac:dyDescent="0.25">
      <c r="A37" s="1"/>
      <c r="B37" s="1"/>
      <c r="C37" s="1"/>
      <c r="D37" s="1"/>
      <c r="E37" s="1"/>
      <c r="F37" s="1"/>
      <c r="G37" s="1"/>
      <c r="H37" s="1"/>
    </row>
    <row r="38" spans="1:8" x14ac:dyDescent="0.25">
      <c r="A38" s="3" t="s">
        <v>458</v>
      </c>
      <c r="B38" s="308">
        <v>8517</v>
      </c>
      <c r="C38" s="3"/>
      <c r="D38" s="3"/>
      <c r="E38" s="3"/>
      <c r="H38" s="1"/>
    </row>
    <row r="39" spans="1:8" ht="41.25" x14ac:dyDescent="0.25">
      <c r="A39" s="316"/>
      <c r="B39" s="316" t="s">
        <v>460</v>
      </c>
      <c r="C39" s="316" t="s">
        <v>331</v>
      </c>
      <c r="D39" s="316" t="s">
        <v>461</v>
      </c>
      <c r="E39" s="322" t="s">
        <v>336</v>
      </c>
      <c r="H39" s="1"/>
    </row>
    <row r="40" spans="1:8" x14ac:dyDescent="0.25">
      <c r="A40" s="4" t="s">
        <v>332</v>
      </c>
      <c r="B40" s="325">
        <v>0.72</v>
      </c>
      <c r="C40" s="317">
        <f>$B$38*B40</f>
        <v>6132.24</v>
      </c>
      <c r="D40" s="325">
        <v>0.05</v>
      </c>
      <c r="E40" s="88">
        <f>C40*D40</f>
        <v>306.61200000000002</v>
      </c>
      <c r="H40" s="1"/>
    </row>
    <row r="41" spans="1:8" x14ac:dyDescent="0.25">
      <c r="A41" s="17" t="s">
        <v>333</v>
      </c>
      <c r="B41" s="326">
        <v>0.18</v>
      </c>
      <c r="C41" s="351">
        <f t="shared" ref="C41" si="1">$B$38*B41</f>
        <v>1533.06</v>
      </c>
      <c r="D41" s="326">
        <v>0.05</v>
      </c>
      <c r="E41" s="352">
        <f>C41*D41</f>
        <v>76.653000000000006</v>
      </c>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292" t="s">
        <v>3</v>
      </c>
      <c r="B44" s="1"/>
      <c r="C44" s="1"/>
      <c r="D44" s="1"/>
      <c r="E44" s="1"/>
      <c r="F44" s="1"/>
      <c r="G44" s="1"/>
      <c r="H44" s="1"/>
    </row>
    <row r="45" spans="1:8" x14ac:dyDescent="0.25">
      <c r="A45" s="5" t="s">
        <v>463</v>
      </c>
      <c r="B45" s="1"/>
      <c r="C45" s="1"/>
      <c r="D45" s="1"/>
      <c r="E45" s="1"/>
      <c r="F45" s="1"/>
      <c r="G45" s="1"/>
      <c r="H45" s="1"/>
    </row>
    <row r="46" spans="1:8" x14ac:dyDescent="0.25">
      <c r="A46" s="5" t="s">
        <v>464</v>
      </c>
      <c r="B46" s="1"/>
      <c r="C46" s="1"/>
      <c r="D46" s="1"/>
      <c r="E46" s="1"/>
      <c r="F46" s="1"/>
      <c r="G46" s="1"/>
      <c r="H46" s="1"/>
    </row>
    <row r="47" spans="1:8" x14ac:dyDescent="0.25">
      <c r="A47" s="31" t="s">
        <v>462</v>
      </c>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row r="51" spans="1:8" x14ac:dyDescent="0.25">
      <c r="A51" s="1"/>
      <c r="B51" s="1"/>
      <c r="C51" s="1"/>
      <c r="D51" s="1"/>
      <c r="E51" s="1"/>
      <c r="F51" s="1"/>
      <c r="G51" s="1"/>
      <c r="H51" s="1"/>
    </row>
    <row r="52" spans="1:8" x14ac:dyDescent="0.25">
      <c r="A52" s="1"/>
      <c r="B52" s="1"/>
      <c r="C52" s="1"/>
      <c r="D52" s="1"/>
      <c r="E52" s="1"/>
      <c r="F52" s="1"/>
      <c r="G52" s="1"/>
      <c r="H52" s="1"/>
    </row>
    <row r="53" spans="1:8" x14ac:dyDescent="0.25">
      <c r="A53" s="1"/>
      <c r="B53" s="1"/>
      <c r="C53" s="1"/>
      <c r="D53" s="1"/>
      <c r="E53" s="1"/>
      <c r="F53" s="1"/>
      <c r="G53" s="1"/>
      <c r="H53" s="1"/>
    </row>
    <row r="54" spans="1:8" x14ac:dyDescent="0.25">
      <c r="A54" s="1"/>
      <c r="B54" s="1"/>
      <c r="C54" s="1"/>
      <c r="D54" s="1"/>
      <c r="E54" s="1"/>
      <c r="F54" s="1"/>
      <c r="G54" s="1"/>
      <c r="H54" s="1"/>
    </row>
    <row r="55" spans="1:8" x14ac:dyDescent="0.25">
      <c r="A55" s="1"/>
      <c r="B55" s="1"/>
      <c r="C55" s="1"/>
      <c r="D55" s="1"/>
      <c r="E55" s="1"/>
      <c r="F55" s="1"/>
      <c r="G55" s="1"/>
      <c r="H55" s="1"/>
    </row>
    <row r="56" spans="1:8" x14ac:dyDescent="0.25">
      <c r="A56" s="1"/>
      <c r="B56" s="1"/>
      <c r="C56" s="1"/>
      <c r="D56" s="1"/>
      <c r="E56" s="1"/>
      <c r="F56" s="1"/>
      <c r="G56" s="1"/>
      <c r="H56" s="1"/>
    </row>
    <row r="57" spans="1:8" x14ac:dyDescent="0.25">
      <c r="A57" s="1"/>
      <c r="B57" s="1"/>
      <c r="C57" s="1"/>
      <c r="D57" s="1"/>
      <c r="E57" s="1"/>
      <c r="F57" s="1"/>
      <c r="G57" s="1"/>
      <c r="H57" s="1"/>
    </row>
    <row r="58" spans="1:8" x14ac:dyDescent="0.25">
      <c r="A58" s="1"/>
      <c r="B58" s="1"/>
      <c r="C58" s="1"/>
      <c r="D58" s="1"/>
      <c r="E58" s="1"/>
      <c r="F58" s="1"/>
      <c r="G58" s="1"/>
      <c r="H58" s="1"/>
    </row>
    <row r="59" spans="1:8" x14ac:dyDescent="0.25">
      <c r="A59" s="1"/>
      <c r="B59" s="1"/>
      <c r="C59" s="1"/>
      <c r="D59" s="1"/>
      <c r="E59" s="1"/>
      <c r="F59" s="1"/>
      <c r="G59" s="1"/>
      <c r="H59" s="1"/>
    </row>
    <row r="60" spans="1:8" x14ac:dyDescent="0.25">
      <c r="A60" s="1"/>
      <c r="B60" s="1"/>
      <c r="C60" s="1"/>
      <c r="D60" s="1"/>
      <c r="E60" s="1"/>
      <c r="F60" s="1"/>
      <c r="G60" s="1"/>
      <c r="H60" s="1"/>
    </row>
    <row r="61" spans="1:8" x14ac:dyDescent="0.25">
      <c r="A61" s="1"/>
      <c r="B61" s="1"/>
      <c r="C61" s="1"/>
      <c r="D61" s="1"/>
      <c r="E61" s="1"/>
      <c r="F61" s="1"/>
      <c r="G61" s="1"/>
      <c r="H61" s="1"/>
    </row>
    <row r="62" spans="1:8" x14ac:dyDescent="0.25">
      <c r="A62" s="1"/>
      <c r="B62" s="1"/>
      <c r="C62" s="1"/>
      <c r="D62" s="1"/>
      <c r="E62" s="1"/>
      <c r="F62" s="1"/>
      <c r="G62" s="1"/>
      <c r="H62" s="1"/>
    </row>
    <row r="63" spans="1:8" x14ac:dyDescent="0.25">
      <c r="A63" s="1"/>
      <c r="B63" s="1"/>
      <c r="C63" s="1"/>
      <c r="D63" s="1"/>
      <c r="E63" s="1"/>
      <c r="F63" s="1"/>
      <c r="G63" s="1"/>
      <c r="H63" s="1"/>
    </row>
    <row r="64" spans="1:8" x14ac:dyDescent="0.25">
      <c r="A64" s="1"/>
      <c r="B64" s="1"/>
      <c r="C64" s="1"/>
      <c r="D64" s="1"/>
      <c r="E64" s="1"/>
      <c r="F64" s="1"/>
      <c r="G64" s="1"/>
      <c r="H64" s="1"/>
    </row>
    <row r="65" spans="1:8" x14ac:dyDescent="0.25">
      <c r="A65" s="1"/>
      <c r="B65" s="1"/>
      <c r="C65" s="1"/>
      <c r="D65" s="1"/>
      <c r="E65" s="1"/>
      <c r="F65" s="1"/>
      <c r="G65" s="1"/>
      <c r="H65" s="1"/>
    </row>
    <row r="66" spans="1:8" x14ac:dyDescent="0.25">
      <c r="A66" s="1"/>
      <c r="B66" s="1"/>
      <c r="C66" s="1"/>
      <c r="D66" s="1"/>
      <c r="E66" s="1"/>
      <c r="F66" s="1"/>
      <c r="G66" s="1"/>
      <c r="H66" s="1"/>
    </row>
    <row r="67" spans="1:8" x14ac:dyDescent="0.25">
      <c r="A67" s="1"/>
      <c r="B67" s="1"/>
      <c r="C67" s="1"/>
      <c r="D67" s="1"/>
      <c r="E67" s="1"/>
      <c r="F67" s="1"/>
      <c r="G67" s="1"/>
      <c r="H67" s="1"/>
    </row>
    <row r="68" spans="1:8" x14ac:dyDescent="0.25">
      <c r="A68" s="1"/>
      <c r="B68" s="1"/>
      <c r="C68" s="1"/>
      <c r="D68" s="1"/>
      <c r="E68" s="1"/>
      <c r="F68" s="1"/>
      <c r="G68" s="1"/>
      <c r="H68" s="1"/>
    </row>
    <row r="69" spans="1:8" x14ac:dyDescent="0.25">
      <c r="A69" s="1"/>
      <c r="B69" s="1"/>
      <c r="C69" s="1"/>
      <c r="D69" s="1"/>
      <c r="E69" s="1"/>
      <c r="F69" s="1"/>
      <c r="G69" s="1"/>
      <c r="H69" s="1"/>
    </row>
    <row r="70" spans="1:8" x14ac:dyDescent="0.25">
      <c r="A70" s="1"/>
      <c r="B70" s="1"/>
      <c r="C70" s="1"/>
      <c r="D70" s="1"/>
      <c r="E70" s="1"/>
      <c r="F70" s="1"/>
      <c r="G70" s="1"/>
      <c r="H70" s="1"/>
    </row>
    <row r="71" spans="1:8" x14ac:dyDescent="0.25">
      <c r="A71" s="1"/>
      <c r="B71" s="1"/>
      <c r="C71" s="1"/>
      <c r="D71" s="1"/>
      <c r="E71" s="1"/>
      <c r="F71" s="1"/>
      <c r="G71" s="1"/>
      <c r="H71" s="1"/>
    </row>
    <row r="72" spans="1:8" x14ac:dyDescent="0.25">
      <c r="A72" s="1"/>
      <c r="B72" s="1"/>
      <c r="C72" s="1"/>
      <c r="D72" s="1"/>
      <c r="E72" s="1"/>
      <c r="F72" s="1"/>
      <c r="G72" s="1"/>
      <c r="H72" s="1"/>
    </row>
    <row r="73" spans="1:8" x14ac:dyDescent="0.25">
      <c r="A73" s="1"/>
      <c r="B73" s="1"/>
      <c r="C73" s="1"/>
      <c r="D73" s="1"/>
      <c r="E73" s="1"/>
      <c r="F73" s="1"/>
      <c r="G73" s="1"/>
      <c r="H73" s="1"/>
    </row>
    <row r="74" spans="1:8" x14ac:dyDescent="0.25">
      <c r="A74" s="1"/>
      <c r="B74" s="1"/>
      <c r="C74" s="1"/>
      <c r="D74" s="1"/>
      <c r="E74" s="1"/>
      <c r="F74" s="1"/>
      <c r="G74" s="1"/>
      <c r="H74" s="1"/>
    </row>
    <row r="75" spans="1:8" x14ac:dyDescent="0.25">
      <c r="A75" s="1"/>
      <c r="B75" s="1"/>
      <c r="C75" s="1"/>
      <c r="D75" s="1"/>
      <c r="E75" s="1"/>
      <c r="F75" s="1"/>
      <c r="G75" s="1"/>
      <c r="H75" s="1"/>
    </row>
    <row r="76" spans="1:8" x14ac:dyDescent="0.25">
      <c r="A76" s="1"/>
      <c r="B76" s="1"/>
      <c r="C76" s="1"/>
      <c r="D76" s="1"/>
      <c r="E76" s="1"/>
      <c r="F76" s="1"/>
      <c r="G76" s="1"/>
      <c r="H76" s="1"/>
    </row>
    <row r="77" spans="1:8" x14ac:dyDescent="0.25">
      <c r="A77" s="1"/>
      <c r="B77" s="1"/>
      <c r="C77" s="1"/>
      <c r="D77" s="1"/>
      <c r="E77" s="1"/>
      <c r="F77" s="1"/>
      <c r="G77" s="1"/>
      <c r="H77" s="1"/>
    </row>
    <row r="78" spans="1:8" x14ac:dyDescent="0.25">
      <c r="A78" s="1"/>
      <c r="B78" s="1"/>
      <c r="C78" s="1"/>
      <c r="D78" s="1"/>
      <c r="E78" s="1"/>
      <c r="F78" s="1"/>
      <c r="G78" s="1"/>
      <c r="H78" s="1"/>
    </row>
    <row r="79" spans="1:8" x14ac:dyDescent="0.25">
      <c r="A79" s="1"/>
      <c r="B79" s="1"/>
      <c r="C79" s="1"/>
      <c r="D79" s="1"/>
      <c r="E79" s="1"/>
      <c r="F79" s="1"/>
      <c r="G79" s="1"/>
      <c r="H79" s="1"/>
    </row>
    <row r="80" spans="1:8" x14ac:dyDescent="0.25">
      <c r="A80" s="1"/>
      <c r="B80" s="1"/>
      <c r="C80" s="1"/>
      <c r="D80" s="1"/>
      <c r="E80" s="1"/>
      <c r="F80" s="1"/>
      <c r="G80" s="1"/>
      <c r="H80" s="1"/>
    </row>
    <row r="81" spans="1:8" x14ac:dyDescent="0.25">
      <c r="A81" s="1"/>
      <c r="B81" s="1"/>
      <c r="C81" s="1"/>
      <c r="D81" s="1"/>
      <c r="E81" s="1"/>
      <c r="F81" s="1"/>
      <c r="G81" s="1"/>
      <c r="H81" s="1"/>
    </row>
    <row r="82" spans="1:8" x14ac:dyDescent="0.25">
      <c r="A82" s="1"/>
      <c r="B82" s="1"/>
      <c r="C82" s="1"/>
      <c r="D82" s="1"/>
      <c r="E82" s="1"/>
      <c r="F82" s="1"/>
      <c r="G82" s="1"/>
      <c r="H82" s="1"/>
    </row>
    <row r="83" spans="1:8" x14ac:dyDescent="0.25">
      <c r="A83" s="1"/>
      <c r="B83" s="1"/>
      <c r="C83" s="1"/>
      <c r="D83" s="1"/>
      <c r="E83" s="1"/>
      <c r="F83" s="1"/>
      <c r="G83" s="1"/>
      <c r="H83" s="1"/>
    </row>
    <row r="84" spans="1:8" x14ac:dyDescent="0.25">
      <c r="A84" s="1"/>
      <c r="B84" s="1"/>
      <c r="C84" s="1"/>
      <c r="D84" s="1"/>
      <c r="E84" s="1"/>
      <c r="F84" s="1"/>
      <c r="G84" s="1"/>
      <c r="H84" s="1"/>
    </row>
    <row r="85" spans="1:8" x14ac:dyDescent="0.25">
      <c r="A85" s="1"/>
      <c r="B85" s="1"/>
      <c r="C85" s="1"/>
      <c r="D85" s="1"/>
      <c r="E85" s="1"/>
      <c r="F85" s="1"/>
      <c r="G85" s="1"/>
      <c r="H85" s="1"/>
    </row>
    <row r="86" spans="1:8" x14ac:dyDescent="0.25">
      <c r="A86" s="1"/>
      <c r="B86" s="1"/>
      <c r="C86" s="1"/>
      <c r="D86" s="1"/>
      <c r="E86" s="1"/>
      <c r="F86" s="1"/>
      <c r="G86" s="1"/>
      <c r="H86" s="1"/>
    </row>
  </sheetData>
  <mergeCells count="4">
    <mergeCell ref="A33:D33"/>
    <mergeCell ref="A30:D30"/>
    <mergeCell ref="A31:D31"/>
    <mergeCell ref="A32:D32"/>
  </mergeCells>
  <printOptions horizontalCentered="1"/>
  <pageMargins left="0.5" right="0.5" top="1" bottom="1" header="0.5" footer="0.5"/>
  <pageSetup scale="80" orientation="portrait" horizontalDpi="300" verticalDpi="300"/>
  <headerFooter alignWithMargins="0">
    <oddFooter>&amp;RPage 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A25" sqref="A25"/>
    </sheetView>
  </sheetViews>
  <sheetFormatPr defaultRowHeight="15.75" x14ac:dyDescent="0.25"/>
  <cols>
    <col min="1" max="1" width="72" style="2" bestFit="1" customWidth="1"/>
    <col min="2" max="2" width="12" style="2" bestFit="1" customWidth="1"/>
    <col min="3" max="3" width="11.42578125" style="2" customWidth="1"/>
    <col min="4" max="4" width="12.28515625" style="2" bestFit="1" customWidth="1"/>
    <col min="5" max="254" width="11.42578125" style="2" customWidth="1"/>
    <col min="255" max="255" width="72" style="2" bestFit="1" customWidth="1"/>
    <col min="256" max="256" width="12" style="2" bestFit="1" customWidth="1"/>
    <col min="257" max="258" width="11.42578125" style="2" customWidth="1"/>
    <col min="259" max="259" width="41.85546875" style="2" bestFit="1" customWidth="1"/>
    <col min="260" max="260" width="12.28515625" style="2" bestFit="1" customWidth="1"/>
    <col min="261" max="510" width="11.42578125" style="2" customWidth="1"/>
    <col min="511" max="511" width="72" style="2" bestFit="1" customWidth="1"/>
    <col min="512" max="512" width="12" style="2" bestFit="1" customWidth="1"/>
    <col min="513" max="514" width="11.42578125" style="2" customWidth="1"/>
    <col min="515" max="515" width="41.85546875" style="2" bestFit="1" customWidth="1"/>
    <col min="516" max="516" width="12.28515625" style="2" bestFit="1" customWidth="1"/>
    <col min="517" max="766" width="11.42578125" style="2" customWidth="1"/>
    <col min="767" max="767" width="72" style="2" bestFit="1" customWidth="1"/>
    <col min="768" max="768" width="12" style="2" bestFit="1" customWidth="1"/>
    <col min="769" max="770" width="11.42578125" style="2" customWidth="1"/>
    <col min="771" max="771" width="41.85546875" style="2" bestFit="1" customWidth="1"/>
    <col min="772" max="772" width="12.28515625" style="2" bestFit="1" customWidth="1"/>
    <col min="773" max="1022" width="11.42578125" style="2" customWidth="1"/>
    <col min="1023" max="1023" width="72" style="2" bestFit="1" customWidth="1"/>
    <col min="1024" max="1024" width="12" style="2" bestFit="1" customWidth="1"/>
    <col min="1025" max="1026" width="11.42578125" style="2" customWidth="1"/>
    <col min="1027" max="1027" width="41.85546875" style="2" bestFit="1" customWidth="1"/>
    <col min="1028" max="1028" width="12.28515625" style="2" bestFit="1" customWidth="1"/>
    <col min="1029" max="1278" width="11.42578125" style="2" customWidth="1"/>
    <col min="1279" max="1279" width="72" style="2" bestFit="1" customWidth="1"/>
    <col min="1280" max="1280" width="12" style="2" bestFit="1" customWidth="1"/>
    <col min="1281" max="1282" width="11.42578125" style="2" customWidth="1"/>
    <col min="1283" max="1283" width="41.85546875" style="2" bestFit="1" customWidth="1"/>
    <col min="1284" max="1284" width="12.28515625" style="2" bestFit="1" customWidth="1"/>
    <col min="1285" max="1534" width="11.42578125" style="2" customWidth="1"/>
    <col min="1535" max="1535" width="72" style="2" bestFit="1" customWidth="1"/>
    <col min="1536" max="1536" width="12" style="2" bestFit="1" customWidth="1"/>
    <col min="1537" max="1538" width="11.42578125" style="2" customWidth="1"/>
    <col min="1539" max="1539" width="41.85546875" style="2" bestFit="1" customWidth="1"/>
    <col min="1540" max="1540" width="12.28515625" style="2" bestFit="1" customWidth="1"/>
    <col min="1541" max="1790" width="11.42578125" style="2" customWidth="1"/>
    <col min="1791" max="1791" width="72" style="2" bestFit="1" customWidth="1"/>
    <col min="1792" max="1792" width="12" style="2" bestFit="1" customWidth="1"/>
    <col min="1793" max="1794" width="11.42578125" style="2" customWidth="1"/>
    <col min="1795" max="1795" width="41.85546875" style="2" bestFit="1" customWidth="1"/>
    <col min="1796" max="1796" width="12.28515625" style="2" bestFit="1" customWidth="1"/>
    <col min="1797" max="2046" width="11.42578125" style="2" customWidth="1"/>
    <col min="2047" max="2047" width="72" style="2" bestFit="1" customWidth="1"/>
    <col min="2048" max="2048" width="12" style="2" bestFit="1" customWidth="1"/>
    <col min="2049" max="2050" width="11.42578125" style="2" customWidth="1"/>
    <col min="2051" max="2051" width="41.85546875" style="2" bestFit="1" customWidth="1"/>
    <col min="2052" max="2052" width="12.28515625" style="2" bestFit="1" customWidth="1"/>
    <col min="2053" max="2302" width="11.42578125" style="2" customWidth="1"/>
    <col min="2303" max="2303" width="72" style="2" bestFit="1" customWidth="1"/>
    <col min="2304" max="2304" width="12" style="2" bestFit="1" customWidth="1"/>
    <col min="2305" max="2306" width="11.42578125" style="2" customWidth="1"/>
    <col min="2307" max="2307" width="41.85546875" style="2" bestFit="1" customWidth="1"/>
    <col min="2308" max="2308" width="12.28515625" style="2" bestFit="1" customWidth="1"/>
    <col min="2309" max="2558" width="11.42578125" style="2" customWidth="1"/>
    <col min="2559" max="2559" width="72" style="2" bestFit="1" customWidth="1"/>
    <col min="2560" max="2560" width="12" style="2" bestFit="1" customWidth="1"/>
    <col min="2561" max="2562" width="11.42578125" style="2" customWidth="1"/>
    <col min="2563" max="2563" width="41.85546875" style="2" bestFit="1" customWidth="1"/>
    <col min="2564" max="2564" width="12.28515625" style="2" bestFit="1" customWidth="1"/>
    <col min="2565" max="2814" width="11.42578125" style="2" customWidth="1"/>
    <col min="2815" max="2815" width="72" style="2" bestFit="1" customWidth="1"/>
    <col min="2816" max="2816" width="12" style="2" bestFit="1" customWidth="1"/>
    <col min="2817" max="2818" width="11.42578125" style="2" customWidth="1"/>
    <col min="2819" max="2819" width="41.85546875" style="2" bestFit="1" customWidth="1"/>
    <col min="2820" max="2820" width="12.28515625" style="2" bestFit="1" customWidth="1"/>
    <col min="2821" max="3070" width="11.42578125" style="2" customWidth="1"/>
    <col min="3071" max="3071" width="72" style="2" bestFit="1" customWidth="1"/>
    <col min="3072" max="3072" width="12" style="2" bestFit="1" customWidth="1"/>
    <col min="3073" max="3074" width="11.42578125" style="2" customWidth="1"/>
    <col min="3075" max="3075" width="41.85546875" style="2" bestFit="1" customWidth="1"/>
    <col min="3076" max="3076" width="12.28515625" style="2" bestFit="1" customWidth="1"/>
    <col min="3077" max="3326" width="11.42578125" style="2" customWidth="1"/>
    <col min="3327" max="3327" width="72" style="2" bestFit="1" customWidth="1"/>
    <col min="3328" max="3328" width="12" style="2" bestFit="1" customWidth="1"/>
    <col min="3329" max="3330" width="11.42578125" style="2" customWidth="1"/>
    <col min="3331" max="3331" width="41.85546875" style="2" bestFit="1" customWidth="1"/>
    <col min="3332" max="3332" width="12.28515625" style="2" bestFit="1" customWidth="1"/>
    <col min="3333" max="3582" width="11.42578125" style="2" customWidth="1"/>
    <col min="3583" max="3583" width="72" style="2" bestFit="1" customWidth="1"/>
    <col min="3584" max="3584" width="12" style="2" bestFit="1" customWidth="1"/>
    <col min="3585" max="3586" width="11.42578125" style="2" customWidth="1"/>
    <col min="3587" max="3587" width="41.85546875" style="2" bestFit="1" customWidth="1"/>
    <col min="3588" max="3588" width="12.28515625" style="2" bestFit="1" customWidth="1"/>
    <col min="3589" max="3838" width="11.42578125" style="2" customWidth="1"/>
    <col min="3839" max="3839" width="72" style="2" bestFit="1" customWidth="1"/>
    <col min="3840" max="3840" width="12" style="2" bestFit="1" customWidth="1"/>
    <col min="3841" max="3842" width="11.42578125" style="2" customWidth="1"/>
    <col min="3843" max="3843" width="41.85546875" style="2" bestFit="1" customWidth="1"/>
    <col min="3844" max="3844" width="12.28515625" style="2" bestFit="1" customWidth="1"/>
    <col min="3845" max="4094" width="11.42578125" style="2" customWidth="1"/>
    <col min="4095" max="4095" width="72" style="2" bestFit="1" customWidth="1"/>
    <col min="4096" max="4096" width="12" style="2" bestFit="1" customWidth="1"/>
    <col min="4097" max="4098" width="11.42578125" style="2" customWidth="1"/>
    <col min="4099" max="4099" width="41.85546875" style="2" bestFit="1" customWidth="1"/>
    <col min="4100" max="4100" width="12.28515625" style="2" bestFit="1" customWidth="1"/>
    <col min="4101" max="4350" width="11.42578125" style="2" customWidth="1"/>
    <col min="4351" max="4351" width="72" style="2" bestFit="1" customWidth="1"/>
    <col min="4352" max="4352" width="12" style="2" bestFit="1" customWidth="1"/>
    <col min="4353" max="4354" width="11.42578125" style="2" customWidth="1"/>
    <col min="4355" max="4355" width="41.85546875" style="2" bestFit="1" customWidth="1"/>
    <col min="4356" max="4356" width="12.28515625" style="2" bestFit="1" customWidth="1"/>
    <col min="4357" max="4606" width="11.42578125" style="2" customWidth="1"/>
    <col min="4607" max="4607" width="72" style="2" bestFit="1" customWidth="1"/>
    <col min="4608" max="4608" width="12" style="2" bestFit="1" customWidth="1"/>
    <col min="4609" max="4610" width="11.42578125" style="2" customWidth="1"/>
    <col min="4611" max="4611" width="41.85546875" style="2" bestFit="1" customWidth="1"/>
    <col min="4612" max="4612" width="12.28515625" style="2" bestFit="1" customWidth="1"/>
    <col min="4613" max="4862" width="11.42578125" style="2" customWidth="1"/>
    <col min="4863" max="4863" width="72" style="2" bestFit="1" customWidth="1"/>
    <col min="4864" max="4864" width="12" style="2" bestFit="1" customWidth="1"/>
    <col min="4865" max="4866" width="11.42578125" style="2" customWidth="1"/>
    <col min="4867" max="4867" width="41.85546875" style="2" bestFit="1" customWidth="1"/>
    <col min="4868" max="4868" width="12.28515625" style="2" bestFit="1" customWidth="1"/>
    <col min="4869" max="5118" width="11.42578125" style="2" customWidth="1"/>
    <col min="5119" max="5119" width="72" style="2" bestFit="1" customWidth="1"/>
    <col min="5120" max="5120" width="12" style="2" bestFit="1" customWidth="1"/>
    <col min="5121" max="5122" width="11.42578125" style="2" customWidth="1"/>
    <col min="5123" max="5123" width="41.85546875" style="2" bestFit="1" customWidth="1"/>
    <col min="5124" max="5124" width="12.28515625" style="2" bestFit="1" customWidth="1"/>
    <col min="5125" max="5374" width="11.42578125" style="2" customWidth="1"/>
    <col min="5375" max="5375" width="72" style="2" bestFit="1" customWidth="1"/>
    <col min="5376" max="5376" width="12" style="2" bestFit="1" customWidth="1"/>
    <col min="5377" max="5378" width="11.42578125" style="2" customWidth="1"/>
    <col min="5379" max="5379" width="41.85546875" style="2" bestFit="1" customWidth="1"/>
    <col min="5380" max="5380" width="12.28515625" style="2" bestFit="1" customWidth="1"/>
    <col min="5381" max="5630" width="11.42578125" style="2" customWidth="1"/>
    <col min="5631" max="5631" width="72" style="2" bestFit="1" customWidth="1"/>
    <col min="5632" max="5632" width="12" style="2" bestFit="1" customWidth="1"/>
    <col min="5633" max="5634" width="11.42578125" style="2" customWidth="1"/>
    <col min="5635" max="5635" width="41.85546875" style="2" bestFit="1" customWidth="1"/>
    <col min="5636" max="5636" width="12.28515625" style="2" bestFit="1" customWidth="1"/>
    <col min="5637" max="5886" width="11.42578125" style="2" customWidth="1"/>
    <col min="5887" max="5887" width="72" style="2" bestFit="1" customWidth="1"/>
    <col min="5888" max="5888" width="12" style="2" bestFit="1" customWidth="1"/>
    <col min="5889" max="5890" width="11.42578125" style="2" customWidth="1"/>
    <col min="5891" max="5891" width="41.85546875" style="2" bestFit="1" customWidth="1"/>
    <col min="5892" max="5892" width="12.28515625" style="2" bestFit="1" customWidth="1"/>
    <col min="5893" max="6142" width="11.42578125" style="2" customWidth="1"/>
    <col min="6143" max="6143" width="72" style="2" bestFit="1" customWidth="1"/>
    <col min="6144" max="6144" width="12" style="2" bestFit="1" customWidth="1"/>
    <col min="6145" max="6146" width="11.42578125" style="2" customWidth="1"/>
    <col min="6147" max="6147" width="41.85546875" style="2" bestFit="1" customWidth="1"/>
    <col min="6148" max="6148" width="12.28515625" style="2" bestFit="1" customWidth="1"/>
    <col min="6149" max="6398" width="11.42578125" style="2" customWidth="1"/>
    <col min="6399" max="6399" width="72" style="2" bestFit="1" customWidth="1"/>
    <col min="6400" max="6400" width="12" style="2" bestFit="1" customWidth="1"/>
    <col min="6401" max="6402" width="11.42578125" style="2" customWidth="1"/>
    <col min="6403" max="6403" width="41.85546875" style="2" bestFit="1" customWidth="1"/>
    <col min="6404" max="6404" width="12.28515625" style="2" bestFit="1" customWidth="1"/>
    <col min="6405" max="6654" width="11.42578125" style="2" customWidth="1"/>
    <col min="6655" max="6655" width="72" style="2" bestFit="1" customWidth="1"/>
    <col min="6656" max="6656" width="12" style="2" bestFit="1" customWidth="1"/>
    <col min="6657" max="6658" width="11.42578125" style="2" customWidth="1"/>
    <col min="6659" max="6659" width="41.85546875" style="2" bestFit="1" customWidth="1"/>
    <col min="6660" max="6660" width="12.28515625" style="2" bestFit="1" customWidth="1"/>
    <col min="6661" max="6910" width="11.42578125" style="2" customWidth="1"/>
    <col min="6911" max="6911" width="72" style="2" bestFit="1" customWidth="1"/>
    <col min="6912" max="6912" width="12" style="2" bestFit="1" customWidth="1"/>
    <col min="6913" max="6914" width="11.42578125" style="2" customWidth="1"/>
    <col min="6915" max="6915" width="41.85546875" style="2" bestFit="1" customWidth="1"/>
    <col min="6916" max="6916" width="12.28515625" style="2" bestFit="1" customWidth="1"/>
    <col min="6917" max="7166" width="11.42578125" style="2" customWidth="1"/>
    <col min="7167" max="7167" width="72" style="2" bestFit="1" customWidth="1"/>
    <col min="7168" max="7168" width="12" style="2" bestFit="1" customWidth="1"/>
    <col min="7169" max="7170" width="11.42578125" style="2" customWidth="1"/>
    <col min="7171" max="7171" width="41.85546875" style="2" bestFit="1" customWidth="1"/>
    <col min="7172" max="7172" width="12.28515625" style="2" bestFit="1" customWidth="1"/>
    <col min="7173" max="7422" width="11.42578125" style="2" customWidth="1"/>
    <col min="7423" max="7423" width="72" style="2" bestFit="1" customWidth="1"/>
    <col min="7424" max="7424" width="12" style="2" bestFit="1" customWidth="1"/>
    <col min="7425" max="7426" width="11.42578125" style="2" customWidth="1"/>
    <col min="7427" max="7427" width="41.85546875" style="2" bestFit="1" customWidth="1"/>
    <col min="7428" max="7428" width="12.28515625" style="2" bestFit="1" customWidth="1"/>
    <col min="7429" max="7678" width="11.42578125" style="2" customWidth="1"/>
    <col min="7679" max="7679" width="72" style="2" bestFit="1" customWidth="1"/>
    <col min="7680" max="7680" width="12" style="2" bestFit="1" customWidth="1"/>
    <col min="7681" max="7682" width="11.42578125" style="2" customWidth="1"/>
    <col min="7683" max="7683" width="41.85546875" style="2" bestFit="1" customWidth="1"/>
    <col min="7684" max="7684" width="12.28515625" style="2" bestFit="1" customWidth="1"/>
    <col min="7685" max="7934" width="11.42578125" style="2" customWidth="1"/>
    <col min="7935" max="7935" width="72" style="2" bestFit="1" customWidth="1"/>
    <col min="7936" max="7936" width="12" style="2" bestFit="1" customWidth="1"/>
    <col min="7937" max="7938" width="11.42578125" style="2" customWidth="1"/>
    <col min="7939" max="7939" width="41.85546875" style="2" bestFit="1" customWidth="1"/>
    <col min="7940" max="7940" width="12.28515625" style="2" bestFit="1" customWidth="1"/>
    <col min="7941" max="8190" width="11.42578125" style="2" customWidth="1"/>
    <col min="8191" max="8191" width="72" style="2" bestFit="1" customWidth="1"/>
    <col min="8192" max="8192" width="12" style="2" bestFit="1" customWidth="1"/>
    <col min="8193" max="8194" width="11.42578125" style="2" customWidth="1"/>
    <col min="8195" max="8195" width="41.85546875" style="2" bestFit="1" customWidth="1"/>
    <col min="8196" max="8196" width="12.28515625" style="2" bestFit="1" customWidth="1"/>
    <col min="8197" max="8446" width="11.42578125" style="2" customWidth="1"/>
    <col min="8447" max="8447" width="72" style="2" bestFit="1" customWidth="1"/>
    <col min="8448" max="8448" width="12" style="2" bestFit="1" customWidth="1"/>
    <col min="8449" max="8450" width="11.42578125" style="2" customWidth="1"/>
    <col min="8451" max="8451" width="41.85546875" style="2" bestFit="1" customWidth="1"/>
    <col min="8452" max="8452" width="12.28515625" style="2" bestFit="1" customWidth="1"/>
    <col min="8453" max="8702" width="11.42578125" style="2" customWidth="1"/>
    <col min="8703" max="8703" width="72" style="2" bestFit="1" customWidth="1"/>
    <col min="8704" max="8704" width="12" style="2" bestFit="1" customWidth="1"/>
    <col min="8705" max="8706" width="11.42578125" style="2" customWidth="1"/>
    <col min="8707" max="8707" width="41.85546875" style="2" bestFit="1" customWidth="1"/>
    <col min="8708" max="8708" width="12.28515625" style="2" bestFit="1" customWidth="1"/>
    <col min="8709" max="8958" width="11.42578125" style="2" customWidth="1"/>
    <col min="8959" max="8959" width="72" style="2" bestFit="1" customWidth="1"/>
    <col min="8960" max="8960" width="12" style="2" bestFit="1" customWidth="1"/>
    <col min="8961" max="8962" width="11.42578125" style="2" customWidth="1"/>
    <col min="8963" max="8963" width="41.85546875" style="2" bestFit="1" customWidth="1"/>
    <col min="8964" max="8964" width="12.28515625" style="2" bestFit="1" customWidth="1"/>
    <col min="8965" max="9214" width="11.42578125" style="2" customWidth="1"/>
    <col min="9215" max="9215" width="72" style="2" bestFit="1" customWidth="1"/>
    <col min="9216" max="9216" width="12" style="2" bestFit="1" customWidth="1"/>
    <col min="9217" max="9218" width="11.42578125" style="2" customWidth="1"/>
    <col min="9219" max="9219" width="41.85546875" style="2" bestFit="1" customWidth="1"/>
    <col min="9220" max="9220" width="12.28515625" style="2" bestFit="1" customWidth="1"/>
    <col min="9221" max="9470" width="11.42578125" style="2" customWidth="1"/>
    <col min="9471" max="9471" width="72" style="2" bestFit="1" customWidth="1"/>
    <col min="9472" max="9472" width="12" style="2" bestFit="1" customWidth="1"/>
    <col min="9473" max="9474" width="11.42578125" style="2" customWidth="1"/>
    <col min="9475" max="9475" width="41.85546875" style="2" bestFit="1" customWidth="1"/>
    <col min="9476" max="9476" width="12.28515625" style="2" bestFit="1" customWidth="1"/>
    <col min="9477" max="9726" width="11.42578125" style="2" customWidth="1"/>
    <col min="9727" max="9727" width="72" style="2" bestFit="1" customWidth="1"/>
    <col min="9728" max="9728" width="12" style="2" bestFit="1" customWidth="1"/>
    <col min="9729" max="9730" width="11.42578125" style="2" customWidth="1"/>
    <col min="9731" max="9731" width="41.85546875" style="2" bestFit="1" customWidth="1"/>
    <col min="9732" max="9732" width="12.28515625" style="2" bestFit="1" customWidth="1"/>
    <col min="9733" max="9982" width="11.42578125" style="2" customWidth="1"/>
    <col min="9983" max="9983" width="72" style="2" bestFit="1" customWidth="1"/>
    <col min="9984" max="9984" width="12" style="2" bestFit="1" customWidth="1"/>
    <col min="9985" max="9986" width="11.42578125" style="2" customWidth="1"/>
    <col min="9987" max="9987" width="41.85546875" style="2" bestFit="1" customWidth="1"/>
    <col min="9988" max="9988" width="12.28515625" style="2" bestFit="1" customWidth="1"/>
    <col min="9989" max="10238" width="11.42578125" style="2" customWidth="1"/>
    <col min="10239" max="10239" width="72" style="2" bestFit="1" customWidth="1"/>
    <col min="10240" max="10240" width="12" style="2" bestFit="1" customWidth="1"/>
    <col min="10241" max="10242" width="11.42578125" style="2" customWidth="1"/>
    <col min="10243" max="10243" width="41.85546875" style="2" bestFit="1" customWidth="1"/>
    <col min="10244" max="10244" width="12.28515625" style="2" bestFit="1" customWidth="1"/>
    <col min="10245" max="10494" width="11.42578125" style="2" customWidth="1"/>
    <col min="10495" max="10495" width="72" style="2" bestFit="1" customWidth="1"/>
    <col min="10496" max="10496" width="12" style="2" bestFit="1" customWidth="1"/>
    <col min="10497" max="10498" width="11.42578125" style="2" customWidth="1"/>
    <col min="10499" max="10499" width="41.85546875" style="2" bestFit="1" customWidth="1"/>
    <col min="10500" max="10500" width="12.28515625" style="2" bestFit="1" customWidth="1"/>
    <col min="10501" max="10750" width="11.42578125" style="2" customWidth="1"/>
    <col min="10751" max="10751" width="72" style="2" bestFit="1" customWidth="1"/>
    <col min="10752" max="10752" width="12" style="2" bestFit="1" customWidth="1"/>
    <col min="10753" max="10754" width="11.42578125" style="2" customWidth="1"/>
    <col min="10755" max="10755" width="41.85546875" style="2" bestFit="1" customWidth="1"/>
    <col min="10756" max="10756" width="12.28515625" style="2" bestFit="1" customWidth="1"/>
    <col min="10757" max="11006" width="11.42578125" style="2" customWidth="1"/>
    <col min="11007" max="11007" width="72" style="2" bestFit="1" customWidth="1"/>
    <col min="11008" max="11008" width="12" style="2" bestFit="1" customWidth="1"/>
    <col min="11009" max="11010" width="11.42578125" style="2" customWidth="1"/>
    <col min="11011" max="11011" width="41.85546875" style="2" bestFit="1" customWidth="1"/>
    <col min="11012" max="11012" width="12.28515625" style="2" bestFit="1" customWidth="1"/>
    <col min="11013" max="11262" width="11.42578125" style="2" customWidth="1"/>
    <col min="11263" max="11263" width="72" style="2" bestFit="1" customWidth="1"/>
    <col min="11264" max="11264" width="12" style="2" bestFit="1" customWidth="1"/>
    <col min="11265" max="11266" width="11.42578125" style="2" customWidth="1"/>
    <col min="11267" max="11267" width="41.85546875" style="2" bestFit="1" customWidth="1"/>
    <col min="11268" max="11268" width="12.28515625" style="2" bestFit="1" customWidth="1"/>
    <col min="11269" max="11518" width="11.42578125" style="2" customWidth="1"/>
    <col min="11519" max="11519" width="72" style="2" bestFit="1" customWidth="1"/>
    <col min="11520" max="11520" width="12" style="2" bestFit="1" customWidth="1"/>
    <col min="11521" max="11522" width="11.42578125" style="2" customWidth="1"/>
    <col min="11523" max="11523" width="41.85546875" style="2" bestFit="1" customWidth="1"/>
    <col min="11524" max="11524" width="12.28515625" style="2" bestFit="1" customWidth="1"/>
    <col min="11525" max="11774" width="11.42578125" style="2" customWidth="1"/>
    <col min="11775" max="11775" width="72" style="2" bestFit="1" customWidth="1"/>
    <col min="11776" max="11776" width="12" style="2" bestFit="1" customWidth="1"/>
    <col min="11777" max="11778" width="11.42578125" style="2" customWidth="1"/>
    <col min="11779" max="11779" width="41.85546875" style="2" bestFit="1" customWidth="1"/>
    <col min="11780" max="11780" width="12.28515625" style="2" bestFit="1" customWidth="1"/>
    <col min="11781" max="12030" width="11.42578125" style="2" customWidth="1"/>
    <col min="12031" max="12031" width="72" style="2" bestFit="1" customWidth="1"/>
    <col min="12032" max="12032" width="12" style="2" bestFit="1" customWidth="1"/>
    <col min="12033" max="12034" width="11.42578125" style="2" customWidth="1"/>
    <col min="12035" max="12035" width="41.85546875" style="2" bestFit="1" customWidth="1"/>
    <col min="12036" max="12036" width="12.28515625" style="2" bestFit="1" customWidth="1"/>
    <col min="12037" max="12286" width="11.42578125" style="2" customWidth="1"/>
    <col min="12287" max="12287" width="72" style="2" bestFit="1" customWidth="1"/>
    <col min="12288" max="12288" width="12" style="2" bestFit="1" customWidth="1"/>
    <col min="12289" max="12290" width="11.42578125" style="2" customWidth="1"/>
    <col min="12291" max="12291" width="41.85546875" style="2" bestFit="1" customWidth="1"/>
    <col min="12292" max="12292" width="12.28515625" style="2" bestFit="1" customWidth="1"/>
    <col min="12293" max="12542" width="11.42578125" style="2" customWidth="1"/>
    <col min="12543" max="12543" width="72" style="2" bestFit="1" customWidth="1"/>
    <col min="12544" max="12544" width="12" style="2" bestFit="1" customWidth="1"/>
    <col min="12545" max="12546" width="11.42578125" style="2" customWidth="1"/>
    <col min="12547" max="12547" width="41.85546875" style="2" bestFit="1" customWidth="1"/>
    <col min="12548" max="12548" width="12.28515625" style="2" bestFit="1" customWidth="1"/>
    <col min="12549" max="12798" width="11.42578125" style="2" customWidth="1"/>
    <col min="12799" max="12799" width="72" style="2" bestFit="1" customWidth="1"/>
    <col min="12800" max="12800" width="12" style="2" bestFit="1" customWidth="1"/>
    <col min="12801" max="12802" width="11.42578125" style="2" customWidth="1"/>
    <col min="12803" max="12803" width="41.85546875" style="2" bestFit="1" customWidth="1"/>
    <col min="12804" max="12804" width="12.28515625" style="2" bestFit="1" customWidth="1"/>
    <col min="12805" max="13054" width="11.42578125" style="2" customWidth="1"/>
    <col min="13055" max="13055" width="72" style="2" bestFit="1" customWidth="1"/>
    <col min="13056" max="13056" width="12" style="2" bestFit="1" customWidth="1"/>
    <col min="13057" max="13058" width="11.42578125" style="2" customWidth="1"/>
    <col min="13059" max="13059" width="41.85546875" style="2" bestFit="1" customWidth="1"/>
    <col min="13060" max="13060" width="12.28515625" style="2" bestFit="1" customWidth="1"/>
    <col min="13061" max="13310" width="11.42578125" style="2" customWidth="1"/>
    <col min="13311" max="13311" width="72" style="2" bestFit="1" customWidth="1"/>
    <col min="13312" max="13312" width="12" style="2" bestFit="1" customWidth="1"/>
    <col min="13313" max="13314" width="11.42578125" style="2" customWidth="1"/>
    <col min="13315" max="13315" width="41.85546875" style="2" bestFit="1" customWidth="1"/>
    <col min="13316" max="13316" width="12.28515625" style="2" bestFit="1" customWidth="1"/>
    <col min="13317" max="13566" width="11.42578125" style="2" customWidth="1"/>
    <col min="13567" max="13567" width="72" style="2" bestFit="1" customWidth="1"/>
    <col min="13568" max="13568" width="12" style="2" bestFit="1" customWidth="1"/>
    <col min="13569" max="13570" width="11.42578125" style="2" customWidth="1"/>
    <col min="13571" max="13571" width="41.85546875" style="2" bestFit="1" customWidth="1"/>
    <col min="13572" max="13572" width="12.28515625" style="2" bestFit="1" customWidth="1"/>
    <col min="13573" max="13822" width="11.42578125" style="2" customWidth="1"/>
    <col min="13823" max="13823" width="72" style="2" bestFit="1" customWidth="1"/>
    <col min="13824" max="13824" width="12" style="2" bestFit="1" customWidth="1"/>
    <col min="13825" max="13826" width="11.42578125" style="2" customWidth="1"/>
    <col min="13827" max="13827" width="41.85546875" style="2" bestFit="1" customWidth="1"/>
    <col min="13828" max="13828" width="12.28515625" style="2" bestFit="1" customWidth="1"/>
    <col min="13829" max="14078" width="11.42578125" style="2" customWidth="1"/>
    <col min="14079" max="14079" width="72" style="2" bestFit="1" customWidth="1"/>
    <col min="14080" max="14080" width="12" style="2" bestFit="1" customWidth="1"/>
    <col min="14081" max="14082" width="11.42578125" style="2" customWidth="1"/>
    <col min="14083" max="14083" width="41.85546875" style="2" bestFit="1" customWidth="1"/>
    <col min="14084" max="14084" width="12.28515625" style="2" bestFit="1" customWidth="1"/>
    <col min="14085" max="14334" width="11.42578125" style="2" customWidth="1"/>
    <col min="14335" max="14335" width="72" style="2" bestFit="1" customWidth="1"/>
    <col min="14336" max="14336" width="12" style="2" bestFit="1" customWidth="1"/>
    <col min="14337" max="14338" width="11.42578125" style="2" customWidth="1"/>
    <col min="14339" max="14339" width="41.85546875" style="2" bestFit="1" customWidth="1"/>
    <col min="14340" max="14340" width="12.28515625" style="2" bestFit="1" customWidth="1"/>
    <col min="14341" max="14590" width="11.42578125" style="2" customWidth="1"/>
    <col min="14591" max="14591" width="72" style="2" bestFit="1" customWidth="1"/>
    <col min="14592" max="14592" width="12" style="2" bestFit="1" customWidth="1"/>
    <col min="14593" max="14594" width="11.42578125" style="2" customWidth="1"/>
    <col min="14595" max="14595" width="41.85546875" style="2" bestFit="1" customWidth="1"/>
    <col min="14596" max="14596" width="12.28515625" style="2" bestFit="1" customWidth="1"/>
    <col min="14597" max="14846" width="11.42578125" style="2" customWidth="1"/>
    <col min="14847" max="14847" width="72" style="2" bestFit="1" customWidth="1"/>
    <col min="14848" max="14848" width="12" style="2" bestFit="1" customWidth="1"/>
    <col min="14849" max="14850" width="11.42578125" style="2" customWidth="1"/>
    <col min="14851" max="14851" width="41.85546875" style="2" bestFit="1" customWidth="1"/>
    <col min="14852" max="14852" width="12.28515625" style="2" bestFit="1" customWidth="1"/>
    <col min="14853" max="15102" width="11.42578125" style="2" customWidth="1"/>
    <col min="15103" max="15103" width="72" style="2" bestFit="1" customWidth="1"/>
    <col min="15104" max="15104" width="12" style="2" bestFit="1" customWidth="1"/>
    <col min="15105" max="15106" width="11.42578125" style="2" customWidth="1"/>
    <col min="15107" max="15107" width="41.85546875" style="2" bestFit="1" customWidth="1"/>
    <col min="15108" max="15108" width="12.28515625" style="2" bestFit="1" customWidth="1"/>
    <col min="15109" max="15358" width="11.42578125" style="2" customWidth="1"/>
    <col min="15359" max="15359" width="72" style="2" bestFit="1" customWidth="1"/>
    <col min="15360" max="15360" width="12" style="2" bestFit="1" customWidth="1"/>
    <col min="15361" max="15362" width="11.42578125" style="2" customWidth="1"/>
    <col min="15363" max="15363" width="41.85546875" style="2" bestFit="1" customWidth="1"/>
    <col min="15364" max="15364" width="12.28515625" style="2" bestFit="1" customWidth="1"/>
    <col min="15365" max="15614" width="11.42578125" style="2" customWidth="1"/>
    <col min="15615" max="15615" width="72" style="2" bestFit="1" customWidth="1"/>
    <col min="15616" max="15616" width="12" style="2" bestFit="1" customWidth="1"/>
    <col min="15617" max="15618" width="11.42578125" style="2" customWidth="1"/>
    <col min="15619" max="15619" width="41.85546875" style="2" bestFit="1" customWidth="1"/>
    <col min="15620" max="15620" width="12.28515625" style="2" bestFit="1" customWidth="1"/>
    <col min="15621" max="15870" width="11.42578125" style="2" customWidth="1"/>
    <col min="15871" max="15871" width="72" style="2" bestFit="1" customWidth="1"/>
    <col min="15872" max="15872" width="12" style="2" bestFit="1" customWidth="1"/>
    <col min="15873" max="15874" width="11.42578125" style="2" customWidth="1"/>
    <col min="15875" max="15875" width="41.85546875" style="2" bestFit="1" customWidth="1"/>
    <col min="15876" max="15876" width="12.28515625" style="2" bestFit="1" customWidth="1"/>
    <col min="15877" max="16126" width="11.42578125" style="2" customWidth="1"/>
    <col min="16127" max="16127" width="72" style="2" bestFit="1" customWidth="1"/>
    <col min="16128" max="16128" width="12" style="2" bestFit="1" customWidth="1"/>
    <col min="16129" max="16130" width="11.42578125" style="2" customWidth="1"/>
    <col min="16131" max="16131" width="41.85546875" style="2" bestFit="1" customWidth="1"/>
    <col min="16132" max="16132" width="12.28515625" style="2" bestFit="1" customWidth="1"/>
    <col min="16133" max="16384" width="11.42578125" style="2" customWidth="1"/>
  </cols>
  <sheetData>
    <row r="1" spans="1:6" ht="18" x14ac:dyDescent="0.25">
      <c r="A1" s="295" t="s">
        <v>345</v>
      </c>
      <c r="B1" s="1"/>
      <c r="C1" s="1"/>
      <c r="D1" s="1"/>
      <c r="E1" s="1"/>
      <c r="F1" s="1"/>
    </row>
    <row r="2" spans="1:6" x14ac:dyDescent="0.25">
      <c r="A2" s="1"/>
      <c r="B2" s="1"/>
      <c r="C2" s="1"/>
      <c r="D2" s="1"/>
      <c r="E2" s="1"/>
      <c r="F2" s="1"/>
    </row>
    <row r="3" spans="1:6" x14ac:dyDescent="0.25">
      <c r="A3" s="292" t="s">
        <v>346</v>
      </c>
      <c r="B3" s="1"/>
      <c r="C3" s="1"/>
      <c r="D3" s="1"/>
      <c r="E3" s="1"/>
      <c r="F3" s="1"/>
    </row>
    <row r="4" spans="1:6" x14ac:dyDescent="0.25">
      <c r="A4" s="292"/>
      <c r="B4" s="1"/>
      <c r="C4" s="1"/>
      <c r="D4" s="1"/>
      <c r="E4" s="1"/>
      <c r="F4" s="1"/>
    </row>
    <row r="5" spans="1:6" x14ac:dyDescent="0.25">
      <c r="A5" s="316"/>
      <c r="B5" s="316" t="s">
        <v>355</v>
      </c>
      <c r="C5" s="322" t="s">
        <v>356</v>
      </c>
      <c r="D5" s="1"/>
      <c r="E5" s="1"/>
      <c r="F5" s="1"/>
    </row>
    <row r="6" spans="1:6" x14ac:dyDescent="0.25">
      <c r="A6" s="4" t="s">
        <v>419</v>
      </c>
      <c r="B6" s="340">
        <v>40000</v>
      </c>
      <c r="C6" s="6" t="s">
        <v>357</v>
      </c>
      <c r="D6" s="1"/>
      <c r="E6" s="1"/>
      <c r="F6" s="1"/>
    </row>
    <row r="7" spans="1:6" x14ac:dyDescent="0.25">
      <c r="A7" s="4" t="s">
        <v>420</v>
      </c>
      <c r="B7" s="323">
        <v>4.46</v>
      </c>
      <c r="C7" s="6" t="s">
        <v>358</v>
      </c>
      <c r="D7" s="1"/>
      <c r="E7" s="1"/>
      <c r="F7" s="1"/>
    </row>
    <row r="8" spans="1:6" x14ac:dyDescent="0.25">
      <c r="A8" s="4" t="s">
        <v>359</v>
      </c>
      <c r="B8" s="340">
        <f>B6*B7*7.48</f>
        <v>1334432</v>
      </c>
      <c r="C8" s="6" t="s">
        <v>360</v>
      </c>
      <c r="D8" s="1"/>
      <c r="E8" s="1"/>
      <c r="F8" s="1"/>
    </row>
    <row r="9" spans="1:6" x14ac:dyDescent="0.25">
      <c r="A9" s="4" t="s">
        <v>421</v>
      </c>
      <c r="B9" s="323">
        <v>0.7</v>
      </c>
      <c r="C9" s="6"/>
      <c r="D9" s="1"/>
      <c r="E9" s="1"/>
      <c r="F9" s="1"/>
    </row>
    <row r="10" spans="1:6" x14ac:dyDescent="0.25">
      <c r="A10" s="4" t="s">
        <v>361</v>
      </c>
      <c r="B10" s="340">
        <f>B8*B9</f>
        <v>934102.39999999991</v>
      </c>
      <c r="C10" s="6" t="s">
        <v>360</v>
      </c>
      <c r="D10" s="1"/>
      <c r="E10" s="1"/>
      <c r="F10" s="1"/>
    </row>
    <row r="11" spans="1:6" x14ac:dyDescent="0.25">
      <c r="A11" s="4"/>
      <c r="B11" s="5"/>
      <c r="C11" s="6"/>
      <c r="D11" s="1"/>
      <c r="E11" s="1"/>
      <c r="F11" s="1"/>
    </row>
    <row r="12" spans="1:6" x14ac:dyDescent="0.25">
      <c r="A12" s="4" t="s">
        <v>422</v>
      </c>
      <c r="B12" s="341">
        <v>0.08</v>
      </c>
      <c r="C12" s="6"/>
      <c r="D12" s="1"/>
      <c r="E12" s="1"/>
      <c r="F12" s="1"/>
    </row>
    <row r="13" spans="1:6" x14ac:dyDescent="0.25">
      <c r="A13" s="4"/>
      <c r="B13" s="5"/>
      <c r="C13" s="6"/>
      <c r="D13" s="1"/>
      <c r="E13" s="1"/>
      <c r="F13" s="1"/>
    </row>
    <row r="14" spans="1:6" x14ac:dyDescent="0.25">
      <c r="A14" s="287" t="s">
        <v>362</v>
      </c>
      <c r="B14" s="342">
        <f>B10*B12</f>
        <v>74728.191999999995</v>
      </c>
      <c r="C14" s="7"/>
      <c r="D14" s="1"/>
      <c r="E14" s="1"/>
      <c r="F14" s="1"/>
    </row>
    <row r="15" spans="1:6" x14ac:dyDescent="0.25">
      <c r="A15" s="21"/>
      <c r="B15" s="63"/>
      <c r="C15" s="3"/>
      <c r="D15" s="1"/>
      <c r="E15" s="1"/>
      <c r="F15" s="1"/>
    </row>
    <row r="16" spans="1:6" x14ac:dyDescent="0.25">
      <c r="A16" s="1"/>
      <c r="B16" s="1"/>
      <c r="C16" s="1"/>
      <c r="D16" s="1"/>
      <c r="E16" s="1"/>
      <c r="F16" s="1"/>
    </row>
    <row r="17" spans="1:1" x14ac:dyDescent="0.25">
      <c r="A17" s="292" t="s">
        <v>3</v>
      </c>
    </row>
    <row r="18" spans="1:1" x14ac:dyDescent="0.25">
      <c r="A18" s="3" t="s">
        <v>423</v>
      </c>
    </row>
    <row r="19" spans="1:1" x14ac:dyDescent="0.25">
      <c r="A19" s="3" t="s">
        <v>426</v>
      </c>
    </row>
    <row r="20" spans="1:1" x14ac:dyDescent="0.25">
      <c r="A20" s="3" t="s">
        <v>424</v>
      </c>
    </row>
    <row r="21" spans="1:1" x14ac:dyDescent="0.25">
      <c r="A21" s="3" t="s">
        <v>425</v>
      </c>
    </row>
  </sheetData>
  <printOptions horizontalCentered="1"/>
  <pageMargins left="0.5" right="0.5" top="1" bottom="1" header="0.5" footer="0.5"/>
  <pageSetup scale="80" orientation="portrait" horizontalDpi="4294967292" verticalDpi="4294967292"/>
  <headerFooter alignWithMargins="0">
    <oddFooter>&amp;RPage 3-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pageSetUpPr fitToPage="1"/>
  </sheetPr>
  <dimension ref="A1:B38"/>
  <sheetViews>
    <sheetView topLeftCell="A10" zoomScaleNormal="100" workbookViewId="0">
      <selection activeCell="A36" sqref="A36"/>
    </sheetView>
  </sheetViews>
  <sheetFormatPr defaultColWidth="11.42578125" defaultRowHeight="12.75" x14ac:dyDescent="0.2"/>
  <cols>
    <col min="1" max="1" width="82.5703125" style="3" customWidth="1"/>
    <col min="2" max="2" width="11.28515625" style="3" bestFit="1" customWidth="1"/>
    <col min="3" max="16384" width="11.42578125" style="3"/>
  </cols>
  <sheetData>
    <row r="1" spans="1:2" ht="18" x14ac:dyDescent="0.25">
      <c r="A1" s="295" t="s">
        <v>439</v>
      </c>
    </row>
    <row r="3" spans="1:2" ht="15.75" x14ac:dyDescent="0.25">
      <c r="A3" s="292" t="s">
        <v>440</v>
      </c>
    </row>
    <row r="5" spans="1:2" x14ac:dyDescent="0.2">
      <c r="A5" s="316" t="s">
        <v>0</v>
      </c>
      <c r="B5" s="316" t="s">
        <v>1</v>
      </c>
    </row>
    <row r="6" spans="1:2" ht="15" x14ac:dyDescent="0.2">
      <c r="A6" s="89" t="s">
        <v>427</v>
      </c>
      <c r="B6" s="138">
        <v>11586</v>
      </c>
    </row>
    <row r="7" spans="1:2" ht="15" x14ac:dyDescent="0.2">
      <c r="A7" s="4" t="s">
        <v>428</v>
      </c>
      <c r="B7" s="33">
        <v>34352</v>
      </c>
    </row>
    <row r="8" spans="1:2" ht="15" x14ac:dyDescent="0.2">
      <c r="A8" s="4" t="s">
        <v>429</v>
      </c>
      <c r="B8" s="33">
        <f>B7-B6</f>
        <v>22766</v>
      </c>
    </row>
    <row r="9" spans="1:2" x14ac:dyDescent="0.2">
      <c r="A9" s="4"/>
      <c r="B9" s="6"/>
    </row>
    <row r="10" spans="1:2" ht="15" x14ac:dyDescent="0.2">
      <c r="A10" s="34" t="s">
        <v>435</v>
      </c>
      <c r="B10" s="35">
        <v>0</v>
      </c>
    </row>
    <row r="11" spans="1:2" ht="15" x14ac:dyDescent="0.2">
      <c r="A11" s="4" t="s">
        <v>437</v>
      </c>
      <c r="B11" s="139">
        <v>5</v>
      </c>
    </row>
    <row r="12" spans="1:2" x14ac:dyDescent="0.2">
      <c r="A12" s="4"/>
      <c r="B12" s="33"/>
    </row>
    <row r="13" spans="1:2" x14ac:dyDescent="0.2">
      <c r="A13" s="4" t="s">
        <v>155</v>
      </c>
      <c r="B13" s="35">
        <f>B6*B10</f>
        <v>0</v>
      </c>
    </row>
    <row r="14" spans="1:2" x14ac:dyDescent="0.2">
      <c r="A14" s="4" t="s">
        <v>297</v>
      </c>
      <c r="B14" s="77">
        <f>B8*B11</f>
        <v>113830</v>
      </c>
    </row>
    <row r="15" spans="1:2" x14ac:dyDescent="0.2">
      <c r="A15" s="17"/>
      <c r="B15" s="18"/>
    </row>
    <row r="16" spans="1:2" x14ac:dyDescent="0.2">
      <c r="A16" s="26" t="s">
        <v>72</v>
      </c>
      <c r="B16" s="28">
        <f>B13+B14</f>
        <v>113830</v>
      </c>
    </row>
    <row r="17" spans="1:2" x14ac:dyDescent="0.2">
      <c r="A17" s="42"/>
      <c r="B17" s="49"/>
    </row>
    <row r="18" spans="1:2" ht="15.75" x14ac:dyDescent="0.25">
      <c r="A18" s="292"/>
    </row>
    <row r="19" spans="1:2" ht="15.75" x14ac:dyDescent="0.25">
      <c r="A19" s="292" t="s">
        <v>441</v>
      </c>
    </row>
    <row r="21" spans="1:2" x14ac:dyDescent="0.2">
      <c r="A21" s="316" t="s">
        <v>0</v>
      </c>
      <c r="B21" s="316" t="s">
        <v>1</v>
      </c>
    </row>
    <row r="22" spans="1:2" ht="15" x14ac:dyDescent="0.2">
      <c r="A22" s="4" t="s">
        <v>432</v>
      </c>
      <c r="B22" s="135">
        <v>109276</v>
      </c>
    </row>
    <row r="23" spans="1:2" ht="15" x14ac:dyDescent="0.2">
      <c r="A23" s="3" t="s">
        <v>433</v>
      </c>
      <c r="B23" s="135">
        <f>B7</f>
        <v>34352</v>
      </c>
    </row>
    <row r="24" spans="1:2" x14ac:dyDescent="0.2">
      <c r="A24" s="4" t="s">
        <v>431</v>
      </c>
      <c r="B24" s="33">
        <f>B22-B23</f>
        <v>74924</v>
      </c>
    </row>
    <row r="25" spans="1:2" x14ac:dyDescent="0.2">
      <c r="A25" s="4"/>
      <c r="B25" s="33"/>
    </row>
    <row r="26" spans="1:2" ht="15" x14ac:dyDescent="0.2">
      <c r="A26" s="4" t="s">
        <v>437</v>
      </c>
      <c r="B26" s="139">
        <v>5</v>
      </c>
    </row>
    <row r="27" spans="1:2" ht="15" x14ac:dyDescent="0.2">
      <c r="A27" s="4" t="s">
        <v>438</v>
      </c>
      <c r="B27" s="291">
        <v>0.5</v>
      </c>
    </row>
    <row r="28" spans="1:2" x14ac:dyDescent="0.2">
      <c r="A28" s="4" t="s">
        <v>298</v>
      </c>
      <c r="B28" s="139">
        <f>B26*B27</f>
        <v>2.5</v>
      </c>
    </row>
    <row r="29" spans="1:2" x14ac:dyDescent="0.2">
      <c r="A29" s="4"/>
      <c r="B29" s="139"/>
    </row>
    <row r="30" spans="1:2" x14ac:dyDescent="0.2">
      <c r="A30" s="4" t="s">
        <v>299</v>
      </c>
      <c r="B30" s="139">
        <f>B24*B28</f>
        <v>187310</v>
      </c>
    </row>
    <row r="31" spans="1:2" x14ac:dyDescent="0.2">
      <c r="A31" s="4"/>
      <c r="B31" s="6"/>
    </row>
    <row r="32" spans="1:2" x14ac:dyDescent="0.2">
      <c r="A32" s="26" t="s">
        <v>300</v>
      </c>
      <c r="B32" s="29">
        <f>B16+B30</f>
        <v>301140</v>
      </c>
    </row>
    <row r="35" spans="1:1" ht="15.75" x14ac:dyDescent="0.25">
      <c r="A35" s="292" t="s">
        <v>3</v>
      </c>
    </row>
    <row r="36" spans="1:1" ht="15" x14ac:dyDescent="0.2">
      <c r="A36" s="3" t="s">
        <v>430</v>
      </c>
    </row>
    <row r="37" spans="1:1" ht="15" x14ac:dyDescent="0.2">
      <c r="A37" s="3" t="s">
        <v>436</v>
      </c>
    </row>
    <row r="38" spans="1:1" ht="15" x14ac:dyDescent="0.2">
      <c r="A38" s="3" t="s">
        <v>434</v>
      </c>
    </row>
  </sheetData>
  <phoneticPr fontId="2" type="noConversion"/>
  <printOptions horizontalCentered="1"/>
  <pageMargins left="0.5" right="0.5" top="1" bottom="0.75" header="0.5" footer="0.5"/>
  <pageSetup scale="53" orientation="landscape" r:id="rId1"/>
  <headerFooter alignWithMargins="0">
    <oddHeader>&amp;L&amp;"Arial Narrow,Regular"&amp;12&amp;K000000&amp;D&amp;C&amp;"Arial Narrow,Bold"&amp;14&amp;K000000TIGER V - Ardmore TOD Cost Benefit Analysis</oddHeader>
    <oddFooter>&amp;L&amp;A&amp;C&amp;"Arial Narrow,Regular"&amp;12&amp;P of &amp;N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40 Year Horizon</vt:lpstr>
      <vt:lpstr>Benefits Results</vt:lpstr>
      <vt:lpstr>1-Nominal Adjustment</vt:lpstr>
      <vt:lpstr>2-Reduced Local Traffic</vt:lpstr>
      <vt:lpstr>3-Reduced Oil Imports</vt:lpstr>
      <vt:lpstr>4-Recreational Benefits</vt:lpstr>
      <vt:lpstr>5-Increased Exercise Benefits</vt:lpstr>
      <vt:lpstr>6-Stormwater Benefits</vt:lpstr>
      <vt:lpstr>7-Imp Exp and Existence Value</vt:lpstr>
      <vt:lpstr>8 -Car Air Pollution Benefit</vt:lpstr>
      <vt:lpstr>9 -Safety Benefits</vt:lpstr>
      <vt:lpstr>10-Real Estate Values</vt:lpstr>
      <vt:lpstr>11-Carbon Costs</vt:lpstr>
      <vt:lpstr>12-Project Costs</vt:lpstr>
      <vt:lpstr>'10-Real Estate Values'!Print_Area</vt:lpstr>
      <vt:lpstr>'11-Carbon Costs'!Print_Area</vt:lpstr>
      <vt:lpstr>'1-Nominal Adjustment'!Print_Area</vt:lpstr>
      <vt:lpstr>'2-Reduced Local Traffic'!Print_Area</vt:lpstr>
      <vt:lpstr>'3-Reduced Oil Imports'!Print_Area</vt:lpstr>
      <vt:lpstr>'40 Year Horizon'!Print_Area</vt:lpstr>
      <vt:lpstr>'4-Recreational Benefits'!Print_Area</vt:lpstr>
      <vt:lpstr>'5-Increased Exercise Benefits'!Print_Area</vt:lpstr>
      <vt:lpstr>'6-Stormwater Benefits'!Print_Area</vt:lpstr>
      <vt:lpstr>'7-Imp Exp and Existence Value'!Print_Area</vt:lpstr>
      <vt:lpstr>'8 -Car Air Pollution Benefit'!Print_Area</vt:lpstr>
      <vt:lpstr>'9 -Safety Benefits'!Print_Area</vt:lpstr>
      <vt:lpstr>'Benefits Results'!Print_Area</vt:lpstr>
      <vt:lpstr>'40 Year Horizon'!Print_Titles</vt:lpstr>
    </vt:vector>
  </TitlesOfParts>
  <Company>Econsult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Gifford Brooks</dc:creator>
  <cp:lastModifiedBy>Miles, Daniel</cp:lastModifiedBy>
  <cp:lastPrinted>2014-04-11T02:06:43Z</cp:lastPrinted>
  <dcterms:created xsi:type="dcterms:W3CDTF">2011-10-10T17:17:08Z</dcterms:created>
  <dcterms:modified xsi:type="dcterms:W3CDTF">2014-04-23T21:06:56Z</dcterms:modified>
</cp:coreProperties>
</file>